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64.139\bk_licitações\LICITAÇÕES A PARTIR DE 02_05_2018\2019\PREGÃO PRESENCIAL 2019\PP 32_2019 TRANSP.ESCOLAR\"/>
    </mc:Choice>
  </mc:AlternateContent>
  <xr:revisionPtr revIDLastSave="0" documentId="13_ncr:1_{FE1C9F97-AF32-4998-9E11-414D08DEA3E6}" xr6:coauthVersionLast="45" xr6:coauthVersionMax="45" xr10:uidLastSave="{00000000-0000-0000-0000-000000000000}"/>
  <bookViews>
    <workbookView xWindow="-120" yWindow="-120" windowWidth="21840" windowHeight="13140" tabRatio="802" activeTab="4" xr2:uid="{00000000-000D-0000-FFFF-FFFF00000000}"/>
  </bookViews>
  <sheets>
    <sheet name="Resumo " sheetId="23" r:id="rId1"/>
    <sheet name="Linha 1" sheetId="22" r:id="rId2"/>
    <sheet name="Linha 2" sheetId="26" r:id="rId3"/>
    <sheet name="Linha 3" sheetId="27" r:id="rId4"/>
    <sheet name="Encargos Sociais" sheetId="8" r:id="rId5"/>
    <sheet name="BDI" sheetId="4" r:id="rId6"/>
    <sheet name="Roteiros" sheetId="24" r:id="rId7"/>
    <sheet name="Depreciação" sheetId="6" r:id="rId8"/>
  </sheets>
  <externalReferences>
    <externalReference r:id="rId9"/>
  </externalReferences>
  <definedNames>
    <definedName name="____LO25" localSheetId="2">#REF!</definedName>
    <definedName name="____LO25" localSheetId="3">#REF!</definedName>
    <definedName name="____LO25">#REF!</definedName>
    <definedName name="___LO25" localSheetId="2">#REF!</definedName>
    <definedName name="___LO25" localSheetId="3">#REF!</definedName>
    <definedName name="___LO25">#REF!</definedName>
    <definedName name="__LO25" localSheetId="2">#REF!</definedName>
    <definedName name="__LO25" localSheetId="3">#REF!</definedName>
    <definedName name="__LO25">#REF!</definedName>
    <definedName name="_LO25" localSheetId="2">#REF!</definedName>
    <definedName name="_LO25" localSheetId="3">#REF!</definedName>
    <definedName name="_LO25">#REF!</definedName>
    <definedName name="AbaDeprec">Depreciação!$A$1</definedName>
    <definedName name="AbaRemun">#REF!</definedName>
    <definedName name="_xlnm.Print_Area" localSheetId="4">'Encargos Sociais'!$A$1:$C$40</definedName>
    <definedName name="sesi" localSheetId="2">#REF!</definedName>
    <definedName name="sesi" localSheetId="3">#REF!</definedName>
    <definedName name="sesi" localSheetId="0">#REF!</definedName>
    <definedName name="sesi" localSheetId="6">#REF!</definedName>
    <definedName name="sesi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23" l="1"/>
  <c r="B10" i="23"/>
  <c r="B9" i="23"/>
  <c r="G39" i="26"/>
  <c r="H39" i="26" s="1"/>
  <c r="G42" i="26" s="1"/>
  <c r="D8" i="24"/>
  <c r="D23" i="24"/>
  <c r="G39" i="27"/>
  <c r="H39" i="27" s="1"/>
  <c r="G42" i="27" s="1"/>
  <c r="G39" i="22"/>
  <c r="B91" i="27"/>
  <c r="B89" i="27"/>
  <c r="G71" i="27"/>
  <c r="A68" i="27"/>
  <c r="A66" i="27"/>
  <c r="A65" i="27"/>
  <c r="A64" i="27"/>
  <c r="A63" i="27"/>
  <c r="A62" i="27"/>
  <c r="A61" i="27"/>
  <c r="A60" i="27"/>
  <c r="F43" i="27"/>
  <c r="F42" i="27"/>
  <c r="E34" i="27"/>
  <c r="F34" i="27" s="1"/>
  <c r="H34" i="27" s="1"/>
  <c r="G13" i="27"/>
  <c r="G15" i="27" s="1"/>
  <c r="B41" i="27" s="1"/>
  <c r="G8" i="27"/>
  <c r="G16" i="27" s="1"/>
  <c r="B91" i="26"/>
  <c r="B89" i="26"/>
  <c r="G71" i="26"/>
  <c r="A68" i="26"/>
  <c r="A66" i="26"/>
  <c r="A65" i="26"/>
  <c r="A64" i="26"/>
  <c r="A63" i="26"/>
  <c r="A62" i="26"/>
  <c r="A61" i="26"/>
  <c r="A60" i="26"/>
  <c r="F43" i="26"/>
  <c r="F42" i="26"/>
  <c r="E34" i="26"/>
  <c r="F34" i="26" s="1"/>
  <c r="H34" i="26" s="1"/>
  <c r="G13" i="26"/>
  <c r="G15" i="26" s="1"/>
  <c r="B41" i="26" s="1"/>
  <c r="G8" i="26"/>
  <c r="G16" i="26" s="1"/>
  <c r="H42" i="27" l="1"/>
  <c r="H42" i="26"/>
  <c r="D38" i="24"/>
  <c r="D40" i="24" s="1"/>
  <c r="C9" i="23"/>
  <c r="B13" i="23"/>
  <c r="A3" i="23"/>
  <c r="B91" i="22"/>
  <c r="B89" i="22"/>
  <c r="G71" i="22"/>
  <c r="A68" i="22"/>
  <c r="A66" i="22"/>
  <c r="A65" i="22"/>
  <c r="A64" i="22"/>
  <c r="A63" i="22"/>
  <c r="A62" i="22"/>
  <c r="A61" i="22"/>
  <c r="A60" i="22"/>
  <c r="F43" i="22"/>
  <c r="F42" i="22"/>
  <c r="H39" i="22"/>
  <c r="G42" i="22" s="1"/>
  <c r="E34" i="22"/>
  <c r="F34" i="22" s="1"/>
  <c r="H34" i="22" s="1"/>
  <c r="B13" i="22"/>
  <c r="G13" i="22" s="1"/>
  <c r="G15" i="22" s="1"/>
  <c r="B41" i="22" s="1"/>
  <c r="G8" i="22"/>
  <c r="G16" i="22" s="1"/>
  <c r="G43" i="27" l="1"/>
  <c r="H43" i="27" s="1"/>
  <c r="B35" i="27" s="1"/>
  <c r="B31" i="27"/>
  <c r="E9" i="23"/>
  <c r="B31" i="26"/>
  <c r="G43" i="26"/>
  <c r="H43" i="26" s="1"/>
  <c r="B35" i="26" s="1"/>
  <c r="H42" i="22"/>
  <c r="D44" i="24"/>
  <c r="G43" i="22" l="1"/>
  <c r="H43" i="22" s="1"/>
  <c r="B35" i="22" s="1"/>
  <c r="B31" i="22"/>
  <c r="D51" i="24"/>
  <c r="B10" i="27"/>
  <c r="G10" i="27" s="1"/>
  <c r="G11" i="27" l="1"/>
  <c r="B25" i="27" s="1"/>
  <c r="B26" i="27" s="1"/>
  <c r="C11" i="23"/>
  <c r="E11" i="23" s="1"/>
  <c r="B78" i="27" l="1"/>
  <c r="G70" i="27"/>
  <c r="G72" i="27" s="1"/>
  <c r="F62" i="27" l="1"/>
  <c r="F61" i="27"/>
  <c r="B28" i="27" l="1"/>
  <c r="F60" i="27"/>
  <c r="C16" i="4" l="1"/>
  <c r="C21" i="4" s="1"/>
  <c r="F14" i="4"/>
  <c r="E14" i="4"/>
  <c r="D14" i="4"/>
  <c r="C18" i="8"/>
  <c r="D49" i="22" l="1"/>
  <c r="D49" i="26"/>
  <c r="D49" i="27"/>
  <c r="C36" i="8"/>
  <c r="C26" i="8"/>
  <c r="C35" i="8" s="1"/>
  <c r="C30" i="8" l="1"/>
  <c r="C33" i="8" s="1"/>
  <c r="C37" i="8"/>
  <c r="C38" i="8" l="1"/>
  <c r="E32" i="27" l="1"/>
  <c r="E32" i="22"/>
  <c r="F32" i="22" s="1"/>
  <c r="H32" i="22" s="1"/>
  <c r="H35" i="22" s="1"/>
  <c r="B38" i="22" s="1"/>
  <c r="B39" i="22" s="1"/>
  <c r="B40" i="22" s="1"/>
  <c r="F64" i="22" s="1"/>
  <c r="F63" i="22" s="1"/>
  <c r="E32" i="26"/>
  <c r="F32" i="26" s="1"/>
  <c r="H32" i="26" s="1"/>
  <c r="H35" i="26" s="1"/>
  <c r="B38" i="26" s="1"/>
  <c r="B39" i="26" s="1"/>
  <c r="B40" i="26" s="1"/>
  <c r="F32" i="27" l="1"/>
  <c r="H32" i="27" s="1"/>
  <c r="H35" i="27" s="1"/>
  <c r="F64" i="26"/>
  <c r="B38" i="27" l="1"/>
  <c r="B39" i="27" s="1"/>
  <c r="B40" i="27" s="1"/>
  <c r="F63" i="26"/>
  <c r="H45" i="27" l="1"/>
  <c r="E49" i="27" s="1"/>
  <c r="F49" i="27" s="1"/>
  <c r="G50" i="27" s="1"/>
  <c r="H52" i="27" s="1"/>
  <c r="F66" i="27" s="1"/>
  <c r="F64" i="27"/>
  <c r="F63" i="27" s="1"/>
  <c r="F65" i="27" s="1"/>
  <c r="H54" i="27" l="1"/>
  <c r="H56" i="27" s="1"/>
  <c r="D80" i="27" s="1"/>
  <c r="F68" i="27"/>
  <c r="F11" i="23" l="1"/>
  <c r="G11" i="23" s="1"/>
  <c r="H11" i="23" s="1"/>
  <c r="J11" i="23" s="1"/>
  <c r="G62" i="27"/>
  <c r="G60" i="27"/>
  <c r="G73" i="27"/>
  <c r="G61" i="27"/>
  <c r="G64" i="27"/>
  <c r="G63" i="27"/>
  <c r="G66" i="27"/>
  <c r="G65" i="27"/>
  <c r="G68" i="27" l="1"/>
  <c r="D25" i="24"/>
  <c r="D29" i="24" s="1"/>
  <c r="D50" i="24" s="1"/>
  <c r="B10" i="26" l="1"/>
  <c r="C10" i="23" l="1"/>
  <c r="G10" i="26"/>
  <c r="G11" i="26" s="1"/>
  <c r="E10" i="23" l="1"/>
  <c r="C13" i="23"/>
  <c r="G70" i="26"/>
  <c r="G72" i="26" s="1"/>
  <c r="B78" i="26"/>
  <c r="B25" i="26"/>
  <c r="F61" i="26" l="1"/>
  <c r="B26" i="26"/>
  <c r="F62" i="26" s="1"/>
  <c r="E13" i="23"/>
  <c r="B28" i="26" l="1"/>
  <c r="H45" i="26" s="1"/>
  <c r="F60" i="26"/>
  <c r="E49" i="26" l="1"/>
  <c r="F49" i="26" s="1"/>
  <c r="G50" i="26" s="1"/>
  <c r="H52" i="26" s="1"/>
  <c r="F66" i="26" s="1"/>
  <c r="F65" i="26"/>
  <c r="F68" i="26" l="1"/>
  <c r="G66" i="26" s="1"/>
  <c r="H54" i="26"/>
  <c r="G73" i="26" l="1"/>
  <c r="G64" i="26"/>
  <c r="G63" i="26"/>
  <c r="G61" i="26"/>
  <c r="G62" i="26"/>
  <c r="G60" i="26"/>
  <c r="F10" i="23"/>
  <c r="G10" i="23" s="1"/>
  <c r="H10" i="23" s="1"/>
  <c r="H56" i="26"/>
  <c r="D80" i="26" s="1"/>
  <c r="G65" i="26"/>
  <c r="G68" i="26" s="1"/>
  <c r="J10" i="23" l="1"/>
  <c r="D10" i="24"/>
  <c r="D14" i="24" s="1"/>
  <c r="D49" i="24" s="1"/>
  <c r="D53" i="24" s="1"/>
  <c r="D54" i="24" s="1"/>
  <c r="B10" i="22" l="1"/>
  <c r="G10" i="22" s="1"/>
  <c r="G11" i="22" s="1"/>
  <c r="B25" i="22" s="1"/>
  <c r="B26" i="22" s="1"/>
  <c r="G70" i="22" l="1"/>
  <c r="G72" i="22" s="1"/>
  <c r="B78" i="22"/>
  <c r="B28" i="22" l="1"/>
  <c r="H45" i="22" s="1"/>
  <c r="F62" i="22"/>
  <c r="F61" i="22"/>
  <c r="E49" i="22" l="1"/>
  <c r="F49" i="22" s="1"/>
  <c r="G50" i="22" s="1"/>
  <c r="H52" i="22" s="1"/>
  <c r="F66" i="22" s="1"/>
  <c r="F60" i="22"/>
  <c r="H54" i="22" l="1"/>
  <c r="H56" i="22" s="1"/>
  <c r="D80" i="22" s="1"/>
  <c r="F65" i="22"/>
  <c r="F68" i="22" l="1"/>
  <c r="G64" i="22" l="1"/>
  <c r="G73" i="22"/>
  <c r="G63" i="22"/>
  <c r="F9" i="23"/>
  <c r="G62" i="22"/>
  <c r="G61" i="22"/>
  <c r="G66" i="22"/>
  <c r="G60" i="22"/>
  <c r="G65" i="22"/>
  <c r="G68" i="22" s="1"/>
  <c r="F13" i="23" l="1"/>
  <c r="G13" i="23" s="1"/>
  <c r="H13" i="23" s="1"/>
  <c r="G9" i="23"/>
  <c r="H9" i="23" s="1"/>
  <c r="I10" i="23" l="1"/>
  <c r="J13" i="23"/>
  <c r="I13" i="23"/>
  <c r="I11" i="23"/>
  <c r="J9" i="23"/>
  <c r="I9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G3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Informar o preço unitário do chassis da Van Escolar </t>
        </r>
      </text>
    </comment>
    <comment ref="F40" authorId="0" shapeId="0" xr:uid="{00000000-0006-0000-0100-000002000000}">
      <text>
        <r>
          <rPr>
            <sz val="9"/>
            <color indexed="81"/>
            <rFont val="Tahoma"/>
            <family val="2"/>
          </rPr>
          <t>Informar a vida útil estimada para a van, em anos</t>
        </r>
      </text>
    </comment>
    <comment ref="F41" authorId="0" shapeId="0" xr:uid="{00000000-0006-0000-0100-000003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F4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G39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Informar o preço unitário do chassis da Van Escolar </t>
        </r>
      </text>
    </comment>
    <comment ref="F40" authorId="0" shapeId="0" xr:uid="{00000000-0006-0000-0200-000002000000}">
      <text>
        <r>
          <rPr>
            <sz val="9"/>
            <color indexed="81"/>
            <rFont val="Tahoma"/>
            <family val="2"/>
          </rPr>
          <t>Informar a vida útil estimada para a van, em anos</t>
        </r>
      </text>
    </comment>
    <comment ref="F41" authorId="0" shapeId="0" xr:uid="{00000000-0006-0000-0200-000003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F4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G39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Informar o preço unitário do chassis da Van Escolar </t>
        </r>
      </text>
    </comment>
    <comment ref="F40" authorId="0" shapeId="0" xr:uid="{00000000-0006-0000-0300-000002000000}">
      <text>
        <r>
          <rPr>
            <sz val="9"/>
            <color indexed="81"/>
            <rFont val="Tahoma"/>
            <family val="2"/>
          </rPr>
          <t>Informar a vida útil estimada para a van, em anos</t>
        </r>
      </text>
    </comment>
    <comment ref="F41" authorId="0" shapeId="0" xr:uid="{00000000-0006-0000-0300-000003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F42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1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7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<sst xmlns="http://schemas.openxmlformats.org/spreadsheetml/2006/main" count="651" uniqueCount="290">
  <si>
    <t>%</t>
  </si>
  <si>
    <t>mês</t>
  </si>
  <si>
    <t>unidade</t>
  </si>
  <si>
    <t>km</t>
  </si>
  <si>
    <t>Benefícios e despesas indiretas</t>
  </si>
  <si>
    <t>Custo (R$/mês)</t>
  </si>
  <si>
    <t>Quantidade</t>
  </si>
  <si>
    <t>INSS</t>
  </si>
  <si>
    <t>FGTS</t>
  </si>
  <si>
    <t>Planilha de Composição de Custos</t>
  </si>
  <si>
    <t>Discriminação</t>
  </si>
  <si>
    <t>Unidade</t>
  </si>
  <si>
    <t>Subtotal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</si>
  <si>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</si>
  <si>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</si>
  <si>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</si>
  <si>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</si>
  <si>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</si>
  <si>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</si>
  <si>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</si>
  <si>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</si>
  <si>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</si>
  <si>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</si>
  <si>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Fórmula para o cálculo do BDI:</t>
  </si>
  <si>
    <t>{[(1+AC+SRG) x (1+L) x (1+DF)] / (1-T)} -1</t>
  </si>
  <si>
    <t>Resultado do cálculo do BDI:</t>
  </si>
  <si>
    <t>Vida útil do chassis</t>
  </si>
  <si>
    <t>anos</t>
  </si>
  <si>
    <t xml:space="preserve"> 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</si>
  <si>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</si>
  <si>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</si>
  <si>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</si>
  <si>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</si>
  <si>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</si>
  <si>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</si>
  <si>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</si>
  <si>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</si>
  <si>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</si>
  <si>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</si>
  <si>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</si>
  <si>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</si>
  <si>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</si>
  <si>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</si>
  <si>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</si>
  <si>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</si>
  <si>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</si>
  <si>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</si>
  <si>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</si>
  <si>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</si>
  <si>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</si>
  <si>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</si>
  <si>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</si>
  <si>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</si>
  <si>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</si>
  <si>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</si>
  <si>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</si>
  <si>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</si>
  <si>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</si>
  <si>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</si>
  <si>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</si>
  <si>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</si>
  <si>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</si>
  <si>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</si>
  <si>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</si>
  <si>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</si>
  <si>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</si>
  <si>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</si>
  <si>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</si>
  <si>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</si>
  <si>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</si>
  <si>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</si>
  <si>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</si>
  <si>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</si>
  <si>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</si>
  <si>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</si>
  <si>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</si>
  <si>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</si>
  <si>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</si>
  <si>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</si>
  <si>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</si>
  <si>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</si>
  <si>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</si>
  <si>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Descrição do Item</t>
  </si>
  <si>
    <t>Orçamento Sintético</t>
  </si>
  <si>
    <t>Orientações para preenchimento:</t>
  </si>
  <si>
    <t>2. Preencher somente células em amarelo</t>
  </si>
  <si>
    <t>Idade do veículo (ano)</t>
  </si>
  <si>
    <t>Idade do veículo</t>
  </si>
  <si>
    <t>C2</t>
  </si>
  <si>
    <t>B3</t>
  </si>
  <si>
    <t>4. Composição do BDI - Benefícios e Despesas Indiretas</t>
  </si>
  <si>
    <t xml:space="preserve">2. Composição dos Encargos Sociais </t>
  </si>
  <si>
    <t>5. Depreciação Referencial TCE/RS (%)</t>
  </si>
  <si>
    <t>Custo unitário</t>
  </si>
  <si>
    <t>Referência estudo TCE</t>
  </si>
  <si>
    <t>1. Esta planilha é somente um modelo-base e deve ser ajustada conforme cada caso concreto.</t>
  </si>
  <si>
    <t>Unid</t>
  </si>
  <si>
    <t>i</t>
  </si>
  <si>
    <t>Depreciação Média</t>
  </si>
  <si>
    <t>Reincidência de FGTS sobre aviso prévio indenizado</t>
  </si>
  <si>
    <t>O TCE/RS não se responsabiliza pelo uso incorreto desta planilha.</t>
  </si>
  <si>
    <t xml:space="preserve">O orçamento deve ser realizado por responsável técnico habilitado e é </t>
  </si>
  <si>
    <t>de responsabilidade do seu autor.</t>
  </si>
  <si>
    <t xml:space="preserve">O orçamento deve ser realizado por responsável técnico habilitado e </t>
  </si>
  <si>
    <t>é de responsabilidade do seu autor.</t>
  </si>
  <si>
    <t>Distância</t>
  </si>
  <si>
    <t>Und.</t>
  </si>
  <si>
    <t>Cor Linha</t>
  </si>
  <si>
    <t>Ponto a Ponto</t>
  </si>
  <si>
    <t>m</t>
  </si>
  <si>
    <t>Trecho 01</t>
  </si>
  <si>
    <t>1 - 2</t>
  </si>
  <si>
    <t>Trecho 02</t>
  </si>
  <si>
    <t>2 - 3</t>
  </si>
  <si>
    <t>Trecho 03</t>
  </si>
  <si>
    <t>3 - 4</t>
  </si>
  <si>
    <t>Trecho 04</t>
  </si>
  <si>
    <t>4 - 5</t>
  </si>
  <si>
    <t>Trecho 05</t>
  </si>
  <si>
    <t>Dias da semana</t>
  </si>
  <si>
    <t>Nu. Coleta Semanal</t>
  </si>
  <si>
    <t>Trecho</t>
  </si>
  <si>
    <t>x</t>
  </si>
  <si>
    <t>Total Semanal</t>
  </si>
  <si>
    <t>Km</t>
  </si>
  <si>
    <t>Total Mensal</t>
  </si>
  <si>
    <t>Distância total do percurso :</t>
  </si>
  <si>
    <t>Tributos - PIS/COFINS/ e CPP se houver</t>
  </si>
  <si>
    <t>Valor R$</t>
  </si>
  <si>
    <t>PREGÃO PRESENCIAL   /2019</t>
  </si>
  <si>
    <t xml:space="preserve">LINHA 1 - ITINERÁRIO - ROTA 01, </t>
  </si>
  <si>
    <t>Serviço de Transporte Escolar - Tucunduva/RS</t>
  </si>
  <si>
    <t xml:space="preserve">PARAMÊTROS PARA CÁLCULO DE CUSTO DA LINHA </t>
  </si>
  <si>
    <t>TURNO</t>
  </si>
  <si>
    <t>Rota 1</t>
  </si>
  <si>
    <t>TOTAL</t>
  </si>
  <si>
    <t>ALUNOS</t>
  </si>
  <si>
    <t>Km pavimentado</t>
  </si>
  <si>
    <t>Kms s/pavimentação</t>
  </si>
  <si>
    <t>Km total</t>
  </si>
  <si>
    <t>Tempo conduzindo o veículo</t>
  </si>
  <si>
    <t>2:49 horas</t>
  </si>
  <si>
    <t xml:space="preserve">Total horas </t>
  </si>
  <si>
    <t>Horas p/base de cálculo de custos</t>
  </si>
  <si>
    <t>Tempo de espera</t>
  </si>
  <si>
    <t>Tempo total (horas)</t>
  </si>
  <si>
    <t>R$ seguro / aluno /mês</t>
  </si>
  <si>
    <t>Veículo</t>
  </si>
  <si>
    <t>Veículo no mínimo de 32 lugares</t>
  </si>
  <si>
    <t>Veículo no máximo 15 anos de uso (fabricação acima de 2004)</t>
  </si>
  <si>
    <t>Combustível  R$/litro conforme tabela ANP</t>
  </si>
  <si>
    <t>Km/litro</t>
  </si>
  <si>
    <t>Relação manutenção/combustível</t>
  </si>
  <si>
    <t xml:space="preserve">Média de dias letivos/mês </t>
  </si>
  <si>
    <t>1- CUSTO VARIÁVEL</t>
  </si>
  <si>
    <t>1.1 COMBUSTÍVEL</t>
  </si>
  <si>
    <t>1.2 MANUTENÇÃO</t>
  </si>
  <si>
    <t>TOTAL (Comb + Manut)</t>
  </si>
  <si>
    <t xml:space="preserve">2 - TOTAL CUSTO FIXO MENSAL </t>
  </si>
  <si>
    <t>CUSTO CAPITAL INVESTIDO ANO</t>
  </si>
  <si>
    <t>SALÁRIO</t>
  </si>
  <si>
    <t>% Encargos</t>
  </si>
  <si>
    <t>Custo Mensal</t>
  </si>
  <si>
    <t xml:space="preserve">Meses </t>
  </si>
  <si>
    <t>SEGURO OBRIGATÓRIO ANUAL</t>
  </si>
  <si>
    <t>LICENCIAMENTO ANUAL</t>
  </si>
  <si>
    <t>Vale Refeição R$</t>
  </si>
  <si>
    <t xml:space="preserve">Dias Mês </t>
  </si>
  <si>
    <t>VISTÓRIAS SEMESTRAIS ANO</t>
  </si>
  <si>
    <t>DEPRECIAÇÃO ANUAL</t>
  </si>
  <si>
    <t xml:space="preserve">Custo Anual por motorista </t>
  </si>
  <si>
    <t>SEGURO TERCEIROS/ALUNOS ANO</t>
  </si>
  <si>
    <t>QUANT. DE MOTORISTAS</t>
  </si>
  <si>
    <t xml:space="preserve">Depreciação </t>
  </si>
  <si>
    <t>MOTORISTA CUSTO ANUAL</t>
  </si>
  <si>
    <t>TOTAL CUSTO FIXO ANO</t>
  </si>
  <si>
    <t>Custo  chassis</t>
  </si>
  <si>
    <t>2.1 TOTAL CUSTO FIXO MENSAL</t>
  </si>
  <si>
    <t>TAXA USO VEÍCULO</t>
  </si>
  <si>
    <t>Deprec. do chassis</t>
  </si>
  <si>
    <t xml:space="preserve">Deprec. mensal </t>
  </si>
  <si>
    <t>3- CUSTO TOTAL MENSAL COM DESPESAS OPERACIONAIS</t>
  </si>
  <si>
    <t xml:space="preserve">4- BENEFÍCIOS E DESPESAS INDIRETAS </t>
  </si>
  <si>
    <r>
      <t xml:space="preserve">Total </t>
    </r>
    <r>
      <rPr>
        <b/>
        <u/>
        <sz val="12"/>
        <rFont val="Arial"/>
        <family val="2"/>
      </rPr>
      <t>(R$)</t>
    </r>
  </si>
  <si>
    <t>Base para cálculo dos benefícios e despesas indiretas sobre total</t>
  </si>
  <si>
    <t>CUSTO MENSAL COM BDI</t>
  </si>
  <si>
    <t xml:space="preserve">5- PREÇO MENSAL TOTAL COM O TRANSPORTE ESCOLAR </t>
  </si>
  <si>
    <t xml:space="preserve">PREÇO MÁXIMO POR QUILÔMETRO RODADO </t>
  </si>
  <si>
    <t>Km total/dia</t>
  </si>
  <si>
    <t xml:space="preserve">Média de dias letivos mês </t>
  </si>
  <si>
    <t>km total/mês</t>
  </si>
  <si>
    <t xml:space="preserve">Custo por quilômetro rodado </t>
  </si>
  <si>
    <r>
      <t>b)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Percurso de: </t>
    </r>
  </si>
  <si>
    <t>quilômetros diários;</t>
  </si>
  <si>
    <r>
      <t>d)</t>
    </r>
    <r>
      <rPr>
        <b/>
        <sz val="12"/>
        <rFont val="Times New Roman"/>
        <family val="1"/>
      </rPr>
      <t> </t>
    </r>
    <r>
      <rPr>
        <b/>
        <sz val="12"/>
        <rFont val="Arial"/>
        <family val="2"/>
      </rPr>
      <t>Valor máximo por quilômetro rodado</t>
    </r>
  </si>
  <si>
    <t xml:space="preserve">Memória de cálculo dos custos de transportes escolares </t>
  </si>
  <si>
    <t xml:space="preserve">&gt;  Número de alunos - determinado conforme arquivo em Anexo (Rotas no Processo de Licitação)  </t>
  </si>
  <si>
    <t xml:space="preserve">&gt;  Turno de aula dos alunos - determinado pela Secretaria de Educação, conforme matriculas dos alunos.  </t>
  </si>
  <si>
    <t xml:space="preserve">&gt;  Distância percorrida da rota - determinado conforme arquivo em Anexo (Rotas no Processo de Licitação)  </t>
  </si>
  <si>
    <t xml:space="preserve">&gt;  Tempo conduzindo o veículo - se refere ao tempo entre o início do roteiro até a chegada ao colégio e o retorno.   </t>
  </si>
  <si>
    <t xml:space="preserve">&gt;  Tempo total de horas - é o somatório do tempo conduzindo o veículo mais o tempo de espera.  </t>
  </si>
  <si>
    <t xml:space="preserve">&gt; Valor do veículo - Determinado pelo valor da FIPE de um veículo com idade média tipo van escolar  </t>
  </si>
  <si>
    <t>&gt;  Idade dos veículos -</t>
  </si>
  <si>
    <t>&gt;  Combustível - Òleo Díesel, conforme determinado no manual do fabricante e da definição do veículo a ser utilizado</t>
  </si>
  <si>
    <t>média de previsão, em virtude de paradas para embarque e desembarque de alunos e também por ser estradas</t>
  </si>
  <si>
    <t xml:space="preserve"> sem pavimentação.   </t>
  </si>
  <si>
    <t>&gt;  Média de dias letivos/mês = total de dias letivos ano (201 dias) dividido por 10 meses (período de aula)</t>
  </si>
  <si>
    <r>
      <t xml:space="preserve">&gt; Custo do Capital Investido - valor determinado pelo valor do veículo e a Taxa </t>
    </r>
    <r>
      <rPr>
        <u/>
        <sz val="14"/>
        <rFont val="Arial"/>
        <family val="2"/>
      </rPr>
      <t xml:space="preserve">Selic atual.  </t>
    </r>
  </si>
  <si>
    <t>&gt; Seguro Obrigatório - Valor apurado conforme pesquisa junto ao Detran/RS.</t>
  </si>
  <si>
    <t>&gt; Licenciamento - Valor apurado conforme pesquisa junto ao Detran/RS.</t>
  </si>
  <si>
    <t>&gt; Vistorias obrigatórias semestrais - Valor aproximado, apurado conforme pesquisa de mercado.</t>
  </si>
  <si>
    <t xml:space="preserve">&gt; Depreciação anual - Considerado uma vida útil de 15 anos e o percentual de 70,73%, conforme referencial </t>
  </si>
  <si>
    <t xml:space="preserve">do TCE/RS publicado no Manual de Coleta de Resíduos Sólidos (2017).  </t>
  </si>
  <si>
    <t xml:space="preserve">&gt; Seguro de Terceiros/alunos ano - Conforme orçamento solicitado junto ao mercado. Valor de cobertura </t>
  </si>
  <si>
    <t xml:space="preserve">Total deve ser de no mínimo 300 mil reais.  </t>
  </si>
  <si>
    <t xml:space="preserve">&gt; Custo do motorista - Foi determinado conforme tempo conduzindo o veículo nas rotas, bem como do tempo de </t>
  </si>
  <si>
    <t xml:space="preserve"> hora de intervalo para efetuar a sua refeição. Os encargos sociais foram determinados conforme legislação vigente, </t>
  </si>
  <si>
    <t xml:space="preserve">o vale refeição foi determinado conforme convenção coletiva. O valor anual foi determinado multiplicando por </t>
  </si>
  <si>
    <t xml:space="preserve">11 meses, pois o 12 mês está previsto às férias, já contemplado nos custos dos encargos, mais 20% dos  </t>
  </si>
  <si>
    <t xml:space="preserve">encargos deste mês. </t>
  </si>
  <si>
    <t xml:space="preserve">Obs: Cada empresa deve prever os encargos sociais de acordo com a sua natureza jurídica.  </t>
  </si>
  <si>
    <t xml:space="preserve">&gt; Custo fixo total anual - contempla o somatório total dos custos fixos.  </t>
  </si>
  <si>
    <t>&gt; Custo fixo total mensal - contempla o somatório total dos custos fixos, dividido pelo número de 10 meses que é</t>
  </si>
  <si>
    <t xml:space="preserve">o período do ano letivo.  </t>
  </si>
  <si>
    <t xml:space="preserve">&gt; Custo total com despesas operacionais - contempla o somatário das despesas fixa e variáveis.  </t>
  </si>
  <si>
    <t xml:space="preserve">&gt; BDI - Benefícios e Despesas Indiretas - foram determinados conforme estudo do TCE/RS publicado no Manual </t>
  </si>
  <si>
    <t xml:space="preserve">Obs: Cada empresa deve prever os Benefícios e Despesas Indiretas de acordo com a sua natureza jurídica.  </t>
  </si>
  <si>
    <t xml:space="preserve">&gt; Preço mensal total com transporte escolar - é o somatório das despesas operacionais, mais o BDI, para </t>
  </si>
  <si>
    <t>20 dias de aula no mês, sendo que o valor pode variar dependo do aumento ou a diminuição do número de</t>
  </si>
  <si>
    <t xml:space="preserve">dias letivos no mês correspondente.  </t>
  </si>
  <si>
    <t xml:space="preserve">&gt; Preço máximo por quilômetro rodado - é o preço mensal total com o transporte escolar, dividido pela </t>
  </si>
  <si>
    <t xml:space="preserve">quilomêtragem percorrida no mês.  </t>
  </si>
  <si>
    <t>ECZ, Assessoria, Consultoria e Treinamento Ltda</t>
  </si>
  <si>
    <t>RESUMO DAS LINHAS COM AS RESPECTIVAS ROTAS</t>
  </si>
  <si>
    <t xml:space="preserve">Resumo das Linhas </t>
  </si>
  <si>
    <t xml:space="preserve">Linhas </t>
  </si>
  <si>
    <t xml:space="preserve">Alunos </t>
  </si>
  <si>
    <t>Kms dia</t>
  </si>
  <si>
    <t xml:space="preserve">Dias/Mês </t>
  </si>
  <si>
    <t xml:space="preserve">Kms mês </t>
  </si>
  <si>
    <t xml:space="preserve">Custo Mês </t>
  </si>
  <si>
    <t>Custo KM</t>
  </si>
  <si>
    <t xml:space="preserve">Custo ano </t>
  </si>
  <si>
    <t xml:space="preserve">% s/total </t>
  </si>
  <si>
    <t>Custo aluno/ano</t>
  </si>
  <si>
    <t xml:space="preserve">Total </t>
  </si>
  <si>
    <t>Rota 1  - Transporte Escolar</t>
  </si>
  <si>
    <t xml:space="preserve">Rota 2  - Transporte Escolar  </t>
  </si>
  <si>
    <t>5 - Fim</t>
  </si>
  <si>
    <t>Distância total da Rota para buscar os alunos:</t>
  </si>
  <si>
    <t>Distância total da Rota para levar os alunos:</t>
  </si>
  <si>
    <t>Trecho até a Garagem:</t>
  </si>
  <si>
    <t>Rota 3  - Transporte Escolar</t>
  </si>
  <si>
    <t xml:space="preserve">  Total dos Rota Transporte Escolar</t>
  </si>
  <si>
    <t>Distância da Rota de Transporte</t>
  </si>
  <si>
    <t>Rota 1: Segunda á sexta</t>
  </si>
  <si>
    <t>Rota 2: Segunda á sexta</t>
  </si>
  <si>
    <t xml:space="preserve">Obs: Cada empresa deve prever os Benefícios e Despesas Indiretas de acordo com  </t>
  </si>
  <si>
    <t xml:space="preserve">a sua natureza jurídica. </t>
  </si>
  <si>
    <t>Linha 01 – Compreende as rotas:  (Rota 01).</t>
  </si>
  <si>
    <r>
      <t>a)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Trajeto - Rota 1 - Conforme Mapa em Anexo </t>
    </r>
  </si>
  <si>
    <t xml:space="preserve">&gt;  Relação manutenção/combustível - considerado a relação de 60% em relação a despesa do combustível.  </t>
  </si>
  <si>
    <t>espera até à próxima rota. O valor foi determinado conforme convenção coletiva da categoria de trabalho 2019/2020.</t>
  </si>
  <si>
    <t xml:space="preserve"> Reg. no MTE: RS002180/2019. Serão necessários 0,66 motoristas, sendo que deverá ter o direito a uma</t>
  </si>
  <si>
    <t xml:space="preserve">&gt; Taxa de uso do veículo - foi considerado a taxa de 66% com às variáveis utilizadas.  </t>
  </si>
  <si>
    <t xml:space="preserve">de Coleta de Resíduos Sólidos (2019) e ajustado conforme legislação atual.   </t>
  </si>
  <si>
    <t xml:space="preserve">&gt;  Preço por litro do combustível - conforme preço médio determinado pela ANP.  </t>
  </si>
  <si>
    <t>1:50 horas</t>
  </si>
  <si>
    <t xml:space="preserve">LINHA 2 - ITINERÁRIO - ROTA 02, </t>
  </si>
  <si>
    <t xml:space="preserve">LINHA 3 - ITINERÁRIO - ROTA 03, </t>
  </si>
  <si>
    <t xml:space="preserve"> Reg. no MTE: RS002180/2019. Serão necessários 0,60 motoristas, sendo que deverá ter o direito a uma</t>
  </si>
  <si>
    <t xml:space="preserve">&gt; Taxa de uso do veículo - foi considerado a taxa de 55% com às variáveis utilizadas.  </t>
  </si>
  <si>
    <t xml:space="preserve">1. Preencha previamente os dados de entrada na planilha </t>
  </si>
  <si>
    <t>2:14 horas</t>
  </si>
  <si>
    <t>Veículo no mínimo de 25 lugares</t>
  </si>
  <si>
    <t>&gt;  Veículo - tipo Micro ônibus/Van</t>
  </si>
  <si>
    <t xml:space="preserve">&gt;  Km/litro - foi determinado a média de 4,5 km/litro, conforme pesquisa de mercado (considerado 2/3 sobre a </t>
  </si>
  <si>
    <t>Veículo no mínimo de 28 lugares</t>
  </si>
  <si>
    <r>
      <t>c)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Turno –  manhã.  </t>
    </r>
  </si>
  <si>
    <t xml:space="preserve">&gt;  Número de alunos - determinado conforme Projeto em Anexo.  </t>
  </si>
  <si>
    <t xml:space="preserve">&gt;  Km/litro - foi determinado a média de 4,0 km/litro, conforme pesquisa de mercado (considerado 2/3 sobre a </t>
  </si>
  <si>
    <t>&gt;  Veículo - tipo Micro ônibus/Vans</t>
  </si>
  <si>
    <t xml:space="preserve">&gt; Taxa de uso do veículo - foi considerado a taxa de 60% com às variáveis utilizadas.  </t>
  </si>
  <si>
    <t>Tucunduva, 27 de Novembro de 2019</t>
  </si>
  <si>
    <t>Linha 02 – Compreende as rotas:  (Rota 02).</t>
  </si>
  <si>
    <t>Rota 2</t>
  </si>
  <si>
    <t>Rota 3</t>
  </si>
  <si>
    <t>Linha 03 – Compreende as rotas:  (Rota 03).</t>
  </si>
  <si>
    <r>
      <t>a)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Trajeto - Rota 3 - Conforme Mapa em Anexo </t>
    </r>
  </si>
  <si>
    <t>PREGÃO PRESENCIAL   32/2019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</si>
</sst>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&quot;R$ &quot;#,##0.00"/>
    <numFmt numFmtId="167" formatCode="_-* #,##0.0_-;\-* #,##0.0_-;_-* &quot;-&quot;??_-;_-@_-"/>
    <numFmt numFmtId="168" formatCode="_ * #,##0.00_ ;_ * \-#,##0.00_ ;_ * &quot;-&quot;??_ ;_ @_ "/>
    <numFmt numFmtId="169" formatCode="0.0"/>
    <numFmt numFmtId="170" formatCode="#,##0.00;[Red]#,##0.00"/>
    <numFmt numFmtId="171" formatCode="0.000"/>
    <numFmt numFmtId="172" formatCode="#,##0.000"/>
    <numFmt numFmtId="173" formatCode="_(&quot;R$ &quot;* #,##0.00_);_(&quot;R$ &quot;* \(#,##0.00\);_(&quot;R$ &quot;* &quot;-&quot;??_);_(@_)"/>
    <numFmt numFmtId="174" formatCode="#,##0.000000"/>
    <numFmt numFmtId="175" formatCode="#,##0.000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2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2"/>
      <color rgb="FFC00000"/>
      <name val="Arial"/>
      <family val="2"/>
    </font>
    <font>
      <u/>
      <sz val="14"/>
      <name val="Arial"/>
      <family val="2"/>
    </font>
    <font>
      <b/>
      <sz val="1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0" borderId="0"/>
    <xf numFmtId="0" fontId="7" fillId="0" borderId="0"/>
    <xf numFmtId="0" fontId="2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" fontId="28" fillId="0" borderId="0"/>
    <xf numFmtId="17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17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</cellStyleXfs>
  <cellXfs count="377">
    <xf numFmtId="0" fontId="0" fillId="0" borderId="0" xfId="0"/>
    <xf numFmtId="0" fontId="11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3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center"/>
    </xf>
    <xf numFmtId="4" fontId="0" fillId="0" borderId="0" xfId="0" applyNumberForma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7" fillId="0" borderId="0" xfId="0" applyFont="1" applyFill="1" applyAlignment="1">
      <alignment vertical="center"/>
    </xf>
    <xf numFmtId="0" fontId="11" fillId="0" borderId="0" xfId="0" applyFont="1" applyBorder="1"/>
    <xf numFmtId="2" fontId="18" fillId="7" borderId="1" xfId="0" applyNumberFormat="1" applyFont="1" applyFill="1" applyBorder="1" applyAlignment="1">
      <alignment horizontal="right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2" fontId="18" fillId="7" borderId="31" xfId="0" applyNumberFormat="1" applyFont="1" applyFill="1" applyBorder="1" applyAlignment="1">
      <alignment horizontal="right" vertical="center"/>
    </xf>
    <xf numFmtId="0" fontId="18" fillId="0" borderId="20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10" fontId="18" fillId="0" borderId="17" xfId="0" applyNumberFormat="1" applyFont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0" fontId="19" fillId="0" borderId="17" xfId="0" applyNumberFormat="1" applyFont="1" applyBorder="1" applyAlignment="1">
      <alignment horizontal="right" vertical="center"/>
    </xf>
    <xf numFmtId="0" fontId="18" fillId="5" borderId="20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10" fontId="19" fillId="5" borderId="17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10" fontId="11" fillId="0" borderId="0" xfId="0" applyNumberFormat="1" applyFont="1"/>
    <xf numFmtId="9" fontId="18" fillId="0" borderId="0" xfId="2" applyFont="1" applyBorder="1" applyAlignment="1">
      <alignment horizontal="right" vertical="center"/>
    </xf>
    <xf numFmtId="10" fontId="11" fillId="0" borderId="0" xfId="0" applyNumberFormat="1" applyFont="1" applyBorder="1"/>
    <xf numFmtId="0" fontId="18" fillId="0" borderId="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18" fillId="9" borderId="21" xfId="0" applyFont="1" applyFill="1" applyBorder="1" applyAlignment="1">
      <alignment horizontal="left" vertical="center"/>
    </xf>
    <xf numFmtId="0" fontId="19" fillId="9" borderId="31" xfId="0" applyFont="1" applyFill="1" applyBorder="1" applyAlignment="1">
      <alignment horizontal="left" vertical="center"/>
    </xf>
    <xf numFmtId="10" fontId="19" fillId="9" borderId="32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21" fillId="4" borderId="0" xfId="0" applyFont="1" applyFill="1" applyBorder="1" applyAlignment="1">
      <alignment horizontal="left" vertical="center"/>
    </xf>
    <xf numFmtId="10" fontId="18" fillId="0" borderId="0" xfId="0" applyNumberFormat="1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left" vertical="center"/>
    </xf>
    <xf numFmtId="10" fontId="18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justify" vertical="center"/>
    </xf>
    <xf numFmtId="0" fontId="13" fillId="0" borderId="0" xfId="1" applyFont="1" applyBorder="1" applyAlignment="1" applyProtection="1">
      <alignment horizontal="left" vertical="center"/>
    </xf>
    <xf numFmtId="0" fontId="23" fillId="0" borderId="0" xfId="0" applyFont="1" applyBorder="1"/>
    <xf numFmtId="0" fontId="18" fillId="0" borderId="0" xfId="0" applyFont="1" applyBorder="1" applyAlignment="1">
      <alignment horizontal="right" vertical="center"/>
    </xf>
    <xf numFmtId="0" fontId="13" fillId="0" borderId="0" xfId="1" applyFont="1" applyBorder="1" applyAlignment="1" applyProtection="1">
      <alignment vertical="center"/>
    </xf>
    <xf numFmtId="0" fontId="10" fillId="0" borderId="20" xfId="0" applyFont="1" applyBorder="1"/>
    <xf numFmtId="0" fontId="10" fillId="0" borderId="33" xfId="0" applyFont="1" applyBorder="1"/>
    <xf numFmtId="0" fontId="12" fillId="0" borderId="33" xfId="0" applyFont="1" applyFill="1" applyBorder="1" applyAlignment="1">
      <alignment horizontal="left" vertical="center"/>
    </xf>
    <xf numFmtId="0" fontId="10" fillId="0" borderId="0" xfId="0" applyFont="1" applyBorder="1"/>
    <xf numFmtId="9" fontId="10" fillId="0" borderId="20" xfId="2" applyFont="1" applyBorder="1"/>
    <xf numFmtId="9" fontId="10" fillId="0" borderId="1" xfId="2" applyFont="1" applyBorder="1" applyAlignment="1">
      <alignment horizontal="center"/>
    </xf>
    <xf numFmtId="9" fontId="10" fillId="0" borderId="17" xfId="2" applyFont="1" applyBorder="1"/>
    <xf numFmtId="0" fontId="10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10" fontId="10" fillId="3" borderId="11" xfId="0" applyNumberFormat="1" applyFont="1" applyFill="1" applyBorder="1" applyAlignment="1">
      <alignment horizontal="center" vertical="center"/>
    </xf>
    <xf numFmtId="10" fontId="10" fillId="0" borderId="17" xfId="2" applyNumberFormat="1" applyFont="1" applyBorder="1"/>
    <xf numFmtId="0" fontId="10" fillId="0" borderId="2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0" fontId="10" fillId="3" borderId="17" xfId="0" applyNumberFormat="1" applyFont="1" applyFill="1" applyBorder="1" applyAlignment="1">
      <alignment horizontal="center" vertical="center"/>
    </xf>
    <xf numFmtId="10" fontId="10" fillId="0" borderId="17" xfId="0" applyNumberFormat="1" applyFont="1" applyFill="1" applyBorder="1" applyAlignment="1">
      <alignment horizontal="center" vertical="center"/>
    </xf>
    <xf numFmtId="10" fontId="10" fillId="3" borderId="1" xfId="2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7" xfId="0" applyFont="1" applyBorder="1"/>
    <xf numFmtId="0" fontId="10" fillId="0" borderId="21" xfId="0" applyFont="1" applyFill="1" applyBorder="1" applyAlignment="1">
      <alignment horizontal="left" vertical="center"/>
    </xf>
    <xf numFmtId="10" fontId="10" fillId="3" borderId="3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2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/>
    </xf>
    <xf numFmtId="10" fontId="10" fillId="0" borderId="24" xfId="0" applyNumberFormat="1" applyFont="1" applyFill="1" applyBorder="1" applyAlignment="1">
      <alignment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/>
    </xf>
    <xf numFmtId="10" fontId="12" fillId="5" borderId="6" xfId="0" applyNumberFormat="1" applyFont="1" applyFill="1" applyBorder="1" applyAlignment="1">
      <alignment horizontal="center" vertical="center" wrapText="1"/>
    </xf>
    <xf numFmtId="10" fontId="10" fillId="0" borderId="20" xfId="2" applyNumberFormat="1" applyFont="1" applyBorder="1" applyAlignment="1">
      <alignment horizontal="right"/>
    </xf>
    <xf numFmtId="10" fontId="10" fillId="0" borderId="1" xfId="2" applyNumberFormat="1" applyFont="1" applyBorder="1" applyAlignment="1">
      <alignment horizontal="right"/>
    </xf>
    <xf numFmtId="10" fontId="10" fillId="0" borderId="17" xfId="2" applyNumberFormat="1" applyFont="1" applyBorder="1" applyAlignment="1">
      <alignment horizontal="right"/>
    </xf>
    <xf numFmtId="10" fontId="10" fillId="0" borderId="21" xfId="2" applyNumberFormat="1" applyFont="1" applyBorder="1" applyAlignment="1">
      <alignment horizontal="right"/>
    </xf>
    <xf numFmtId="10" fontId="10" fillId="0" borderId="31" xfId="2" applyNumberFormat="1" applyFont="1" applyBorder="1" applyAlignment="1">
      <alignment horizontal="right"/>
    </xf>
    <xf numFmtId="10" fontId="10" fillId="0" borderId="32" xfId="2" applyNumberFormat="1" applyFont="1" applyBorder="1" applyAlignment="1">
      <alignment horizontal="right"/>
    </xf>
    <xf numFmtId="0" fontId="9" fillId="0" borderId="3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vertical="center"/>
    </xf>
    <xf numFmtId="0" fontId="10" fillId="0" borderId="20" xfId="0" applyFont="1" applyBorder="1" applyAlignment="1">
      <alignment horizontal="right"/>
    </xf>
    <xf numFmtId="4" fontId="25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9" fillId="0" borderId="0" xfId="36" applyFont="1" applyFill="1" applyBorder="1" applyAlignment="1"/>
    <xf numFmtId="4" fontId="9" fillId="0" borderId="0" xfId="36" applyFont="1" applyFill="1" applyBorder="1" applyAlignment="1">
      <alignment horizontal="center"/>
    </xf>
    <xf numFmtId="4" fontId="0" fillId="0" borderId="0" xfId="36" applyFont="1"/>
    <xf numFmtId="4" fontId="0" fillId="0" borderId="0" xfId="36" applyFont="1" applyFill="1"/>
    <xf numFmtId="0" fontId="12" fillId="0" borderId="0" xfId="36" applyNumberFormat="1" applyFont="1" applyFill="1" applyBorder="1" applyAlignment="1">
      <alignment vertical="center"/>
    </xf>
    <xf numFmtId="0" fontId="12" fillId="0" borderId="0" xfId="36" applyNumberFormat="1" applyFont="1" applyFill="1" applyBorder="1" applyAlignment="1">
      <alignment horizontal="center" vertical="center"/>
    </xf>
    <xf numFmtId="4" fontId="9" fillId="0" borderId="0" xfId="36" applyFont="1" applyFill="1" applyBorder="1" applyAlignment="1">
      <alignment horizontal="left"/>
    </xf>
    <xf numFmtId="4" fontId="9" fillId="0" borderId="1" xfId="36" applyFont="1" applyBorder="1" applyAlignment="1">
      <alignment horizontal="left"/>
    </xf>
    <xf numFmtId="4" fontId="9" fillId="0" borderId="1" xfId="36" applyFont="1" applyBorder="1" applyAlignment="1">
      <alignment horizontal="center"/>
    </xf>
    <xf numFmtId="4" fontId="24" fillId="0" borderId="0" xfId="36" applyFont="1"/>
    <xf numFmtId="0" fontId="24" fillId="13" borderId="1" xfId="36" applyNumberFormat="1" applyFont="1" applyFill="1" applyBorder="1" applyAlignment="1">
      <alignment horizontal="center"/>
    </xf>
    <xf numFmtId="0" fontId="9" fillId="13" borderId="1" xfId="36" applyNumberFormat="1" applyFont="1" applyFill="1" applyBorder="1" applyAlignment="1">
      <alignment horizontal="center"/>
    </xf>
    <xf numFmtId="4" fontId="24" fillId="0" borderId="1" xfId="36" applyFont="1" applyBorder="1" applyAlignment="1">
      <alignment horizontal="left"/>
    </xf>
    <xf numFmtId="164" fontId="24" fillId="13" borderId="1" xfId="37" applyNumberFormat="1" applyFont="1" applyFill="1" applyBorder="1" applyAlignment="1">
      <alignment horizontal="center"/>
    </xf>
    <xf numFmtId="164" fontId="9" fillId="0" borderId="1" xfId="37" applyNumberFormat="1" applyFont="1" applyBorder="1" applyAlignment="1">
      <alignment horizontal="left"/>
    </xf>
    <xf numFmtId="164" fontId="9" fillId="13" borderId="1" xfId="37" applyNumberFormat="1" applyFont="1" applyFill="1" applyBorder="1" applyAlignment="1">
      <alignment horizontal="center"/>
    </xf>
    <xf numFmtId="164" fontId="9" fillId="0" borderId="1" xfId="37" applyNumberFormat="1" applyFont="1" applyBorder="1" applyAlignment="1">
      <alignment horizontal="center"/>
    </xf>
    <xf numFmtId="4" fontId="9" fillId="0" borderId="7" xfId="36" applyFont="1" applyBorder="1" applyAlignment="1">
      <alignment horizontal="left"/>
    </xf>
    <xf numFmtId="4" fontId="9" fillId="0" borderId="1" xfId="36" applyFont="1" applyBorder="1" applyAlignment="1">
      <alignment horizontal="right"/>
    </xf>
    <xf numFmtId="1" fontId="9" fillId="0" borderId="1" xfId="36" applyNumberFormat="1" applyFont="1" applyBorder="1" applyAlignment="1">
      <alignment horizontal="right"/>
    </xf>
    <xf numFmtId="4" fontId="9" fillId="0" borderId="1" xfId="36" applyFont="1" applyBorder="1"/>
    <xf numFmtId="164" fontId="9" fillId="0" borderId="1" xfId="37" applyNumberFormat="1" applyFont="1" applyBorder="1"/>
    <xf numFmtId="172" fontId="24" fillId="0" borderId="0" xfId="36" applyNumberFormat="1" applyFont="1"/>
    <xf numFmtId="4" fontId="24" fillId="0" borderId="0" xfId="36" applyFont="1" applyAlignment="1">
      <alignment horizontal="right"/>
    </xf>
    <xf numFmtId="164" fontId="9" fillId="4" borderId="1" xfId="37" applyNumberFormat="1" applyFont="1" applyFill="1" applyBorder="1" applyAlignment="1">
      <alignment horizontal="center"/>
    </xf>
    <xf numFmtId="4" fontId="9" fillId="13" borderId="1" xfId="36" applyNumberFormat="1" applyFont="1" applyFill="1" applyBorder="1"/>
    <xf numFmtId="165" fontId="9" fillId="13" borderId="1" xfId="37" applyNumberFormat="1" applyFont="1" applyFill="1" applyBorder="1" applyAlignment="1">
      <alignment horizontal="center"/>
    </xf>
    <xf numFmtId="4" fontId="9" fillId="12" borderId="1" xfId="36" applyFont="1" applyFill="1" applyBorder="1" applyAlignment="1"/>
    <xf numFmtId="4" fontId="9" fillId="12" borderId="1" xfId="36" applyFont="1" applyFill="1" applyBorder="1" applyAlignment="1">
      <alignment horizontal="center"/>
    </xf>
    <xf numFmtId="164" fontId="24" fillId="0" borderId="1" xfId="37" applyNumberFormat="1" applyFont="1" applyBorder="1"/>
    <xf numFmtId="164" fontId="24" fillId="0" borderId="0" xfId="37" applyNumberFormat="1" applyFont="1" applyBorder="1"/>
    <xf numFmtId="4" fontId="24" fillId="0" borderId="0" xfId="36" applyFont="1" applyBorder="1"/>
    <xf numFmtId="4" fontId="24" fillId="0" borderId="0" xfId="36" applyFont="1" applyFill="1" applyBorder="1"/>
    <xf numFmtId="10" fontId="24" fillId="0" borderId="0" xfId="36" applyNumberFormat="1" applyFont="1" applyFill="1" applyBorder="1"/>
    <xf numFmtId="4" fontId="24" fillId="0" borderId="1" xfId="36" applyFont="1" applyBorder="1"/>
    <xf numFmtId="4" fontId="9" fillId="0" borderId="1" xfId="36" applyNumberFormat="1" applyFont="1" applyBorder="1"/>
    <xf numFmtId="4" fontId="9" fillId="0" borderId="0" xfId="36" applyNumberFormat="1" applyFont="1" applyBorder="1"/>
    <xf numFmtId="4" fontId="9" fillId="0" borderId="0" xfId="36" applyFont="1" applyBorder="1" applyAlignment="1">
      <alignment horizontal="center"/>
    </xf>
    <xf numFmtId="4" fontId="24" fillId="0" borderId="0" xfId="36" applyNumberFormat="1" applyFont="1" applyBorder="1"/>
    <xf numFmtId="4" fontId="24" fillId="0" borderId="2" xfId="36" applyFont="1" applyBorder="1"/>
    <xf numFmtId="4" fontId="24" fillId="0" borderId="2" xfId="36" applyNumberFormat="1" applyFont="1" applyFill="1" applyBorder="1"/>
    <xf numFmtId="4" fontId="24" fillId="0" borderId="0" xfId="36" applyNumberFormat="1" applyFont="1" applyFill="1" applyBorder="1"/>
    <xf numFmtId="4" fontId="9" fillId="0" borderId="2" xfId="36" applyFont="1" applyBorder="1" applyAlignment="1">
      <alignment horizontal="center"/>
    </xf>
    <xf numFmtId="4" fontId="24" fillId="0" borderId="1" xfId="36" applyNumberFormat="1" applyFont="1" applyFill="1" applyBorder="1"/>
    <xf numFmtId="10" fontId="24" fillId="0" borderId="1" xfId="38" applyNumberFormat="1" applyFont="1" applyBorder="1" applyAlignment="1">
      <alignment horizontal="center"/>
    </xf>
    <xf numFmtId="164" fontId="24" fillId="0" borderId="1" xfId="37" applyNumberFormat="1" applyFont="1" applyBorder="1" applyAlignment="1">
      <alignment horizontal="center"/>
    </xf>
    <xf numFmtId="4" fontId="24" fillId="0" borderId="1" xfId="36" applyNumberFormat="1" applyFont="1" applyBorder="1" applyAlignment="1">
      <alignment horizontal="center"/>
    </xf>
    <xf numFmtId="4" fontId="24" fillId="0" borderId="1" xfId="36" applyNumberFormat="1" applyFont="1" applyBorder="1"/>
    <xf numFmtId="3" fontId="24" fillId="0" borderId="1" xfId="36" applyNumberFormat="1" applyFont="1" applyBorder="1"/>
    <xf numFmtId="164" fontId="24" fillId="0" borderId="1" xfId="37" applyNumberFormat="1" applyFont="1" applyBorder="1" applyAlignment="1">
      <alignment vertical="center" wrapText="1"/>
    </xf>
    <xf numFmtId="3" fontId="24" fillId="0" borderId="1" xfId="36" applyNumberFormat="1" applyFont="1" applyBorder="1" applyAlignment="1">
      <alignment horizontal="center"/>
    </xf>
    <xf numFmtId="4" fontId="9" fillId="0" borderId="1" xfId="36" applyNumberFormat="1" applyFont="1" applyBorder="1" applyAlignment="1">
      <alignment horizontal="left"/>
    </xf>
    <xf numFmtId="164" fontId="9" fillId="0" borderId="1" xfId="37" applyNumberFormat="1" applyFont="1" applyBorder="1" applyAlignment="1">
      <alignment vertical="center" wrapText="1"/>
    </xf>
    <xf numFmtId="4" fontId="24" fillId="13" borderId="1" xfId="36" applyNumberFormat="1" applyFont="1" applyFill="1" applyBorder="1"/>
    <xf numFmtId="4" fontId="24" fillId="13" borderId="0" xfId="36" applyNumberFormat="1" applyFont="1" applyFill="1" applyBorder="1"/>
    <xf numFmtId="4" fontId="9" fillId="0" borderId="3" xfId="36" applyFont="1" applyBorder="1" applyAlignment="1">
      <alignment vertical="center" wrapText="1"/>
    </xf>
    <xf numFmtId="4" fontId="24" fillId="0" borderId="0" xfId="36" applyFont="1" applyAlignment="1">
      <alignment vertical="center" wrapText="1"/>
    </xf>
    <xf numFmtId="4" fontId="14" fillId="2" borderId="40" xfId="36" applyFont="1" applyFill="1" applyBorder="1" applyAlignment="1">
      <alignment horizontal="center" vertical="center"/>
    </xf>
    <xf numFmtId="4" fontId="14" fillId="2" borderId="14" xfId="36" applyFont="1" applyFill="1" applyBorder="1" applyAlignment="1">
      <alignment horizontal="center" vertical="center"/>
    </xf>
    <xf numFmtId="164" fontId="14" fillId="2" borderId="14" xfId="37" applyNumberFormat="1" applyFont="1" applyFill="1" applyBorder="1" applyAlignment="1">
      <alignment horizontal="center" vertical="center"/>
    </xf>
    <xf numFmtId="4" fontId="7" fillId="0" borderId="2" xfId="36" applyFont="1" applyBorder="1" applyAlignment="1">
      <alignment vertical="center"/>
    </xf>
    <xf numFmtId="4" fontId="24" fillId="0" borderId="2" xfId="36" applyFont="1" applyBorder="1" applyAlignment="1">
      <alignment horizontal="center" vertical="center"/>
    </xf>
    <xf numFmtId="3" fontId="24" fillId="0" borderId="2" xfId="36" applyNumberFormat="1" applyFont="1" applyFill="1" applyBorder="1" applyAlignment="1">
      <alignment horizontal="center" vertical="center"/>
    </xf>
    <xf numFmtId="164" fontId="24" fillId="3" borderId="2" xfId="37" applyNumberFormat="1" applyFont="1" applyFill="1" applyBorder="1" applyAlignment="1">
      <alignment horizontal="center" vertical="center"/>
    </xf>
    <xf numFmtId="164" fontId="24" fillId="0" borderId="2" xfId="37" applyNumberFormat="1" applyFont="1" applyBorder="1" applyAlignment="1">
      <alignment horizontal="center" vertical="center"/>
    </xf>
    <xf numFmtId="4" fontId="7" fillId="0" borderId="1" xfId="36" applyFont="1" applyBorder="1" applyAlignment="1">
      <alignment vertical="center"/>
    </xf>
    <xf numFmtId="4" fontId="24" fillId="0" borderId="1" xfId="36" applyFont="1" applyBorder="1" applyAlignment="1">
      <alignment horizontal="center" vertical="center"/>
    </xf>
    <xf numFmtId="3" fontId="24" fillId="0" borderId="1" xfId="36" applyNumberFormat="1" applyFont="1" applyFill="1" applyBorder="1" applyAlignment="1">
      <alignment horizontal="center" vertical="center"/>
    </xf>
    <xf numFmtId="164" fontId="24" fillId="0" borderId="1" xfId="37" applyNumberFormat="1" applyFont="1" applyFill="1" applyBorder="1" applyAlignment="1">
      <alignment horizontal="center" vertical="center"/>
    </xf>
    <xf numFmtId="164" fontId="24" fillId="0" borderId="1" xfId="37" applyNumberFormat="1" applyFont="1" applyBorder="1" applyAlignment="1">
      <alignment horizontal="center" vertical="center"/>
    </xf>
    <xf numFmtId="4" fontId="9" fillId="0" borderId="1" xfId="36" applyFont="1" applyFill="1" applyBorder="1"/>
    <xf numFmtId="2" fontId="9" fillId="0" borderId="1" xfId="36" applyNumberFormat="1" applyFont="1" applyFill="1" applyBorder="1"/>
    <xf numFmtId="2" fontId="9" fillId="0" borderId="0" xfId="36" applyNumberFormat="1" applyFont="1" applyFill="1" applyBorder="1"/>
    <xf numFmtId="3" fontId="24" fillId="3" borderId="1" xfId="36" applyNumberFormat="1" applyFont="1" applyFill="1" applyBorder="1" applyAlignment="1">
      <alignment horizontal="center" vertical="center"/>
    </xf>
    <xf numFmtId="164" fontId="24" fillId="6" borderId="1" xfId="37" applyNumberFormat="1" applyFont="1" applyFill="1" applyBorder="1" applyAlignment="1">
      <alignment horizontal="center" vertical="center"/>
    </xf>
    <xf numFmtId="4" fontId="8" fillId="0" borderId="37" xfId="36" applyFont="1" applyBorder="1" applyAlignment="1">
      <alignment vertical="center"/>
    </xf>
    <xf numFmtId="4" fontId="9" fillId="0" borderId="37" xfId="36" applyFont="1" applyBorder="1" applyAlignment="1">
      <alignment horizontal="center" vertical="center"/>
    </xf>
    <xf numFmtId="3" fontId="9" fillId="0" borderId="37" xfId="36" applyNumberFormat="1" applyFont="1" applyBorder="1" applyAlignment="1">
      <alignment horizontal="center" vertical="center"/>
    </xf>
    <xf numFmtId="164" fontId="9" fillId="0" borderId="37" xfId="37" applyNumberFormat="1" applyFont="1" applyBorder="1" applyAlignment="1">
      <alignment horizontal="center" vertical="center"/>
    </xf>
    <xf numFmtId="4" fontId="9" fillId="0" borderId="1" xfId="36" applyNumberFormat="1" applyFont="1" applyFill="1" applyBorder="1"/>
    <xf numFmtId="0" fontId="7" fillId="0" borderId="0" xfId="36" applyNumberFormat="1" applyFont="1" applyAlignment="1">
      <alignment vertical="center"/>
    </xf>
    <xf numFmtId="164" fontId="7" fillId="0" borderId="0" xfId="37" applyNumberFormat="1" applyFont="1" applyAlignment="1">
      <alignment vertical="center"/>
    </xf>
    <xf numFmtId="0" fontId="9" fillId="2" borderId="13" xfId="36" applyNumberFormat="1" applyFont="1" applyFill="1" applyBorder="1" applyAlignment="1">
      <alignment horizontal="center" vertical="center"/>
    </xf>
    <xf numFmtId="0" fontId="9" fillId="2" borderId="14" xfId="36" applyNumberFormat="1" applyFont="1" applyFill="1" applyBorder="1" applyAlignment="1">
      <alignment horizontal="center" vertical="center"/>
    </xf>
    <xf numFmtId="164" fontId="9" fillId="2" borderId="14" xfId="37" applyNumberFormat="1" applyFont="1" applyFill="1" applyBorder="1" applyAlignment="1">
      <alignment horizontal="center" vertical="center"/>
    </xf>
    <xf numFmtId="164" fontId="9" fillId="2" borderId="15" xfId="37" applyNumberFormat="1" applyFont="1" applyFill="1" applyBorder="1" applyAlignment="1">
      <alignment horizontal="center" vertical="center"/>
    </xf>
    <xf numFmtId="10" fontId="0" fillId="0" borderId="0" xfId="38" applyNumberFormat="1" applyFont="1"/>
    <xf numFmtId="0" fontId="9" fillId="0" borderId="2" xfId="36" applyNumberFormat="1" applyFont="1" applyBorder="1" applyAlignment="1">
      <alignment vertical="center"/>
    </xf>
    <xf numFmtId="0" fontId="7" fillId="0" borderId="2" xfId="36" applyNumberFormat="1" applyFont="1" applyBorder="1" applyAlignment="1">
      <alignment horizontal="center" vertical="center"/>
    </xf>
    <xf numFmtId="10" fontId="24" fillId="6" borderId="1" xfId="38" applyNumberFormat="1" applyFont="1" applyFill="1" applyBorder="1" applyAlignment="1">
      <alignment horizontal="center" vertical="center"/>
    </xf>
    <xf numFmtId="164" fontId="24" fillId="0" borderId="0" xfId="37" applyNumberFormat="1" applyFont="1" applyAlignment="1">
      <alignment vertical="center"/>
    </xf>
    <xf numFmtId="0" fontId="24" fillId="0" borderId="1" xfId="36" applyNumberFormat="1" applyFont="1" applyBorder="1" applyAlignment="1">
      <alignment vertical="center"/>
    </xf>
    <xf numFmtId="0" fontId="7" fillId="0" borderId="1" xfId="36" applyNumberFormat="1" applyFont="1" applyBorder="1" applyAlignment="1">
      <alignment vertical="center"/>
    </xf>
    <xf numFmtId="10" fontId="24" fillId="0" borderId="1" xfId="38" applyNumberFormat="1" applyFont="1" applyBorder="1" applyAlignment="1">
      <alignment vertical="center"/>
    </xf>
    <xf numFmtId="164" fontId="24" fillId="0" borderId="1" xfId="37" applyNumberFormat="1" applyFont="1" applyBorder="1" applyAlignment="1">
      <alignment vertical="center"/>
    </xf>
    <xf numFmtId="44" fontId="9" fillId="2" borderId="6" xfId="6" applyFont="1" applyFill="1" applyBorder="1" applyAlignment="1">
      <alignment horizontal="center" vertical="center"/>
    </xf>
    <xf numFmtId="0" fontId="24" fillId="0" borderId="0" xfId="36" applyNumberFormat="1" applyFont="1" applyAlignment="1">
      <alignment vertical="center"/>
    </xf>
    <xf numFmtId="0" fontId="9" fillId="0" borderId="4" xfId="36" applyNumberFormat="1" applyFont="1" applyBorder="1" applyAlignment="1">
      <alignment vertical="center"/>
    </xf>
    <xf numFmtId="0" fontId="7" fillId="0" borderId="5" xfId="36" applyNumberFormat="1" applyFont="1" applyBorder="1" applyAlignment="1">
      <alignment vertical="center"/>
    </xf>
    <xf numFmtId="0" fontId="24" fillId="0" borderId="5" xfId="36" applyNumberFormat="1" applyFont="1" applyBorder="1" applyAlignment="1">
      <alignment vertical="center"/>
    </xf>
    <xf numFmtId="164" fontId="24" fillId="0" borderId="5" xfId="37" applyNumberFormat="1" applyFont="1" applyBorder="1" applyAlignment="1">
      <alignment vertical="center"/>
    </xf>
    <xf numFmtId="164" fontId="24" fillId="0" borderId="6" xfId="37" applyNumberFormat="1" applyFont="1" applyBorder="1" applyAlignment="1">
      <alignment vertical="center"/>
    </xf>
    <xf numFmtId="44" fontId="9" fillId="2" borderId="3" xfId="6" applyFont="1" applyFill="1" applyBorder="1" applyAlignment="1">
      <alignment horizontal="center" vertical="center"/>
    </xf>
    <xf numFmtId="164" fontId="7" fillId="0" borderId="5" xfId="37" applyNumberFormat="1" applyFont="1" applyBorder="1" applyAlignment="1">
      <alignment vertical="center"/>
    </xf>
    <xf numFmtId="164" fontId="7" fillId="0" borderId="6" xfId="37" applyNumberFormat="1" applyFont="1" applyBorder="1" applyAlignment="1">
      <alignment vertical="center"/>
    </xf>
    <xf numFmtId="44" fontId="9" fillId="2" borderId="3" xfId="6" applyFont="1" applyFill="1" applyBorder="1" applyAlignment="1">
      <alignment vertical="center"/>
    </xf>
    <xf numFmtId="4" fontId="9" fillId="0" borderId="13" xfId="36" applyFont="1" applyFill="1" applyBorder="1"/>
    <xf numFmtId="4" fontId="0" fillId="0" borderId="14" xfId="36" applyFont="1" applyBorder="1"/>
    <xf numFmtId="4" fontId="9" fillId="0" borderId="15" xfId="36" applyNumberFormat="1" applyFont="1" applyFill="1" applyBorder="1"/>
    <xf numFmtId="164" fontId="17" fillId="0" borderId="12" xfId="37" applyNumberFormat="1" applyFont="1" applyBorder="1" applyAlignment="1">
      <alignment horizontal="center" vertical="center"/>
    </xf>
    <xf numFmtId="164" fontId="30" fillId="0" borderId="8" xfId="37" applyNumberFormat="1" applyFont="1" applyBorder="1" applyAlignment="1">
      <alignment vertical="center"/>
    </xf>
    <xf numFmtId="164" fontId="17" fillId="0" borderId="9" xfId="37" applyNumberFormat="1" applyFont="1" applyBorder="1" applyAlignment="1">
      <alignment vertical="center"/>
    </xf>
    <xf numFmtId="164" fontId="9" fillId="0" borderId="9" xfId="37" applyNumberFormat="1" applyFont="1" applyBorder="1" applyAlignment="1">
      <alignment vertical="center"/>
    </xf>
    <xf numFmtId="164" fontId="17" fillId="0" borderId="17" xfId="37" applyNumberFormat="1" applyFont="1" applyBorder="1" applyAlignment="1">
      <alignment horizontal="center" vertical="center"/>
    </xf>
    <xf numFmtId="164" fontId="17" fillId="0" borderId="33" xfId="37" applyNumberFormat="1" applyFont="1" applyBorder="1" applyAlignment="1">
      <alignment vertical="center"/>
    </xf>
    <xf numFmtId="164" fontId="17" fillId="0" borderId="0" xfId="36" applyNumberFormat="1" applyFont="1" applyBorder="1" applyAlignment="1">
      <alignment vertical="center"/>
    </xf>
    <xf numFmtId="164" fontId="17" fillId="0" borderId="0" xfId="37" applyNumberFormat="1" applyFont="1" applyBorder="1" applyAlignment="1">
      <alignment vertical="center"/>
    </xf>
    <xf numFmtId="164" fontId="17" fillId="0" borderId="41" xfId="37" applyNumberFormat="1" applyFont="1" applyBorder="1" applyAlignment="1">
      <alignment vertical="center"/>
    </xf>
    <xf numFmtId="10" fontId="17" fillId="0" borderId="17" xfId="38" applyNumberFormat="1" applyFont="1" applyBorder="1" applyAlignment="1">
      <alignment vertical="center"/>
    </xf>
    <xf numFmtId="164" fontId="30" fillId="0" borderId="12" xfId="37" applyNumberFormat="1" applyFont="1" applyBorder="1" applyAlignment="1">
      <alignment vertical="center"/>
    </xf>
    <xf numFmtId="164" fontId="30" fillId="0" borderId="8" xfId="36" applyNumberFormat="1" applyFont="1" applyBorder="1" applyAlignment="1">
      <alignment vertical="center"/>
    </xf>
    <xf numFmtId="164" fontId="30" fillId="0" borderId="9" xfId="37" applyNumberFormat="1" applyFont="1" applyBorder="1" applyAlignment="1">
      <alignment vertical="center"/>
    </xf>
    <xf numFmtId="10" fontId="30" fillId="0" borderId="17" xfId="38" applyNumberFormat="1" applyFont="1" applyBorder="1" applyAlignment="1">
      <alignment vertical="center"/>
    </xf>
    <xf numFmtId="164" fontId="30" fillId="0" borderId="38" xfId="37" applyNumberFormat="1" applyFont="1" applyBorder="1" applyAlignment="1">
      <alignment vertical="center"/>
    </xf>
    <xf numFmtId="164" fontId="30" fillId="0" borderId="42" xfId="36" applyNumberFormat="1" applyFont="1" applyBorder="1" applyAlignment="1">
      <alignment vertical="center"/>
    </xf>
    <xf numFmtId="164" fontId="30" fillId="0" borderId="42" xfId="37" applyNumberFormat="1" applyFont="1" applyBorder="1" applyAlignment="1">
      <alignment vertical="center"/>
    </xf>
    <xf numFmtId="164" fontId="30" fillId="0" borderId="43" xfId="37" applyNumberFormat="1" applyFont="1" applyBorder="1" applyAlignment="1">
      <alignment vertical="center"/>
    </xf>
    <xf numFmtId="164" fontId="30" fillId="0" borderId="1" xfId="37" applyNumberFormat="1" applyFont="1" applyBorder="1" applyAlignment="1">
      <alignment vertical="center"/>
    </xf>
    <xf numFmtId="164" fontId="17" fillId="0" borderId="38" xfId="37" applyNumberFormat="1" applyFont="1" applyBorder="1" applyAlignment="1">
      <alignment vertical="center"/>
    </xf>
    <xf numFmtId="164" fontId="17" fillId="0" borderId="12" xfId="37" applyNumberFormat="1" applyFont="1" applyBorder="1" applyAlignment="1">
      <alignment vertical="center"/>
    </xf>
    <xf numFmtId="164" fontId="17" fillId="0" borderId="8" xfId="37" applyNumberFormat="1" applyFont="1" applyBorder="1" applyAlignment="1">
      <alignment vertical="center"/>
    </xf>
    <xf numFmtId="164" fontId="17" fillId="0" borderId="43" xfId="37" applyNumberFormat="1" applyFont="1" applyBorder="1" applyAlignment="1">
      <alignment vertical="center"/>
    </xf>
    <xf numFmtId="164" fontId="17" fillId="0" borderId="12" xfId="37" applyNumberFormat="1" applyFont="1" applyBorder="1" applyAlignment="1">
      <alignment horizontal="left" vertical="center"/>
    </xf>
    <xf numFmtId="4" fontId="17" fillId="0" borderId="8" xfId="36" applyNumberFormat="1" applyFont="1" applyBorder="1" applyAlignment="1">
      <alignment horizontal="centerContinuous" vertical="center"/>
    </xf>
    <xf numFmtId="164" fontId="17" fillId="0" borderId="25" xfId="37" applyNumberFormat="1" applyFont="1" applyBorder="1" applyAlignment="1">
      <alignment horizontal="left" vertical="center"/>
    </xf>
    <xf numFmtId="4" fontId="17" fillId="0" borderId="26" xfId="36" applyNumberFormat="1" applyFont="1" applyBorder="1" applyAlignment="1">
      <alignment horizontal="centerContinuous" vertical="center"/>
    </xf>
    <xf numFmtId="164" fontId="17" fillId="0" borderId="26" xfId="37" applyNumberFormat="1" applyFont="1" applyBorder="1" applyAlignment="1">
      <alignment vertical="center"/>
    </xf>
    <xf numFmtId="164" fontId="17" fillId="0" borderId="44" xfId="37" applyNumberFormat="1" applyFont="1" applyBorder="1" applyAlignment="1">
      <alignment vertical="center"/>
    </xf>
    <xf numFmtId="166" fontId="17" fillId="0" borderId="44" xfId="36" applyNumberFormat="1" applyFont="1" applyBorder="1" applyAlignment="1">
      <alignment vertical="center"/>
    </xf>
    <xf numFmtId="10" fontId="17" fillId="0" borderId="28" xfId="38" applyNumberFormat="1" applyFont="1" applyBorder="1" applyAlignment="1">
      <alignment vertical="center"/>
    </xf>
    <xf numFmtId="164" fontId="17" fillId="0" borderId="13" xfId="37" applyNumberFormat="1" applyFont="1" applyBorder="1" applyAlignment="1">
      <alignment horizontal="left" vertical="center"/>
    </xf>
    <xf numFmtId="4" fontId="17" fillId="0" borderId="14" xfId="36" applyNumberFormat="1" applyFont="1" applyBorder="1" applyAlignment="1">
      <alignment horizontal="centerContinuous" vertical="center"/>
    </xf>
    <xf numFmtId="164" fontId="17" fillId="0" borderId="14" xfId="37" applyNumberFormat="1" applyFont="1" applyBorder="1" applyAlignment="1">
      <alignment vertical="center"/>
    </xf>
    <xf numFmtId="10" fontId="17" fillId="0" borderId="15" xfId="38" applyNumberFormat="1" applyFont="1" applyBorder="1" applyAlignment="1">
      <alignment vertical="center"/>
    </xf>
    <xf numFmtId="4" fontId="30" fillId="0" borderId="18" xfId="36" applyFont="1" applyBorder="1"/>
    <xf numFmtId="4" fontId="30" fillId="0" borderId="19" xfId="36" applyFont="1" applyBorder="1"/>
    <xf numFmtId="4" fontId="30" fillId="0" borderId="11" xfId="36" applyFont="1" applyBorder="1"/>
    <xf numFmtId="4" fontId="17" fillId="0" borderId="20" xfId="36" applyFont="1" applyBorder="1"/>
    <xf numFmtId="4" fontId="30" fillId="0" borderId="1" xfId="36" applyFont="1" applyBorder="1"/>
    <xf numFmtId="4" fontId="17" fillId="0" borderId="17" xfId="36" applyFont="1" applyBorder="1"/>
    <xf numFmtId="3" fontId="17" fillId="0" borderId="17" xfId="36" applyNumberFormat="1" applyFont="1" applyBorder="1"/>
    <xf numFmtId="4" fontId="17" fillId="0" borderId="21" xfId="36" applyFont="1" applyBorder="1"/>
    <xf numFmtId="4" fontId="17" fillId="0" borderId="31" xfId="36" applyFont="1" applyBorder="1"/>
    <xf numFmtId="4" fontId="17" fillId="0" borderId="32" xfId="36" applyFont="1" applyBorder="1"/>
    <xf numFmtId="4" fontId="30" fillId="0" borderId="0" xfId="36" applyFont="1" applyAlignment="1">
      <alignment horizontal="left"/>
    </xf>
    <xf numFmtId="4" fontId="9" fillId="0" borderId="0" xfId="36" applyFont="1" applyAlignment="1">
      <alignment horizontal="left"/>
    </xf>
    <xf numFmtId="4" fontId="9" fillId="3" borderId="0" xfId="36" applyFont="1" applyFill="1"/>
    <xf numFmtId="4" fontId="9" fillId="0" borderId="0" xfId="36" applyFont="1"/>
    <xf numFmtId="4" fontId="8" fillId="0" borderId="0" xfId="36" applyFont="1"/>
    <xf numFmtId="173" fontId="12" fillId="3" borderId="0" xfId="39" applyNumberFormat="1" applyFont="1" applyFill="1"/>
    <xf numFmtId="173" fontId="10" fillId="0" borderId="0" xfId="39" applyNumberFormat="1" applyFont="1" applyFill="1"/>
    <xf numFmtId="4" fontId="17" fillId="0" borderId="0" xfId="36" applyFont="1" applyAlignment="1">
      <alignment horizontal="left"/>
    </xf>
    <xf numFmtId="4" fontId="30" fillId="0" borderId="0" xfId="36" applyFont="1"/>
    <xf numFmtId="174" fontId="30" fillId="0" borderId="0" xfId="36" applyNumberFormat="1" applyFont="1"/>
    <xf numFmtId="4" fontId="34" fillId="0" borderId="0" xfId="36" applyFont="1"/>
    <xf numFmtId="0" fontId="9" fillId="0" borderId="1" xfId="36" applyNumberFormat="1" applyFont="1" applyFill="1" applyBorder="1" applyAlignment="1">
      <alignment horizontal="center"/>
    </xf>
    <xf numFmtId="164" fontId="9" fillId="0" borderId="1" xfId="43" applyNumberFormat="1" applyFont="1" applyFill="1" applyBorder="1" applyAlignment="1">
      <alignment horizontal="center"/>
    </xf>
    <xf numFmtId="10" fontId="9" fillId="0" borderId="1" xfId="42" applyNumberFormat="1" applyFont="1" applyFill="1" applyBorder="1" applyAlignment="1">
      <alignment horizontal="center"/>
    </xf>
    <xf numFmtId="0" fontId="9" fillId="0" borderId="7" xfId="36" applyNumberFormat="1" applyFont="1" applyFill="1" applyBorder="1" applyAlignment="1">
      <alignment horizontal="center"/>
    </xf>
    <xf numFmtId="0" fontId="9" fillId="0" borderId="8" xfId="36" applyNumberFormat="1" applyFont="1" applyFill="1" applyBorder="1" applyAlignment="1">
      <alignment horizontal="center"/>
    </xf>
    <xf numFmtId="4" fontId="9" fillId="0" borderId="8" xfId="36" applyFont="1" applyFill="1" applyBorder="1" applyAlignment="1">
      <alignment horizontal="right"/>
    </xf>
    <xf numFmtId="164" fontId="9" fillId="0" borderId="9" xfId="43" applyNumberFormat="1" applyFont="1" applyFill="1" applyBorder="1"/>
    <xf numFmtId="0" fontId="0" fillId="0" borderId="0" xfId="36" applyNumberFormat="1" applyFont="1" applyBorder="1" applyAlignment="1">
      <alignment horizontal="center"/>
    </xf>
    <xf numFmtId="0" fontId="0" fillId="0" borderId="1" xfId="36" applyNumberFormat="1" applyFont="1" applyBorder="1" applyAlignment="1">
      <alignment horizontal="center"/>
    </xf>
    <xf numFmtId="49" fontId="0" fillId="0" borderId="1" xfId="36" applyNumberFormat="1" applyFont="1" applyBorder="1" applyAlignment="1">
      <alignment horizontal="center"/>
    </xf>
    <xf numFmtId="4" fontId="0" fillId="0" borderId="1" xfId="36" applyNumberFormat="1" applyFont="1" applyBorder="1"/>
    <xf numFmtId="0" fontId="0" fillId="0" borderId="1" xfId="36" applyNumberFormat="1" applyFont="1" applyBorder="1"/>
    <xf numFmtId="0" fontId="0" fillId="0" borderId="0" xfId="36" applyNumberFormat="1" applyFont="1" applyBorder="1"/>
    <xf numFmtId="2" fontId="27" fillId="0" borderId="1" xfId="44" applyNumberFormat="1" applyFont="1" applyBorder="1"/>
    <xf numFmtId="2" fontId="27" fillId="0" borderId="1" xfId="36" applyNumberFormat="1" applyFont="1" applyBorder="1" applyAlignment="1">
      <alignment horizontal="right"/>
    </xf>
    <xf numFmtId="0" fontId="0" fillId="0" borderId="0" xfId="36" applyNumberFormat="1" applyFont="1"/>
    <xf numFmtId="169" fontId="27" fillId="0" borderId="1" xfId="44" applyNumberFormat="1" applyFont="1" applyBorder="1"/>
    <xf numFmtId="0" fontId="0" fillId="0" borderId="1" xfId="36" applyNumberFormat="1" applyFont="1" applyFill="1" applyBorder="1"/>
    <xf numFmtId="2" fontId="27" fillId="0" borderId="1" xfId="44" applyNumberFormat="1" applyFont="1" applyBorder="1" applyAlignment="1">
      <alignment horizontal="right"/>
    </xf>
    <xf numFmtId="0" fontId="0" fillId="0" borderId="0" xfId="36" applyNumberFormat="1" applyFont="1" applyFill="1" applyBorder="1" applyAlignment="1">
      <alignment horizontal="right"/>
    </xf>
    <xf numFmtId="2" fontId="27" fillId="0" borderId="0" xfId="44" applyNumberFormat="1" applyFont="1" applyBorder="1" applyAlignment="1">
      <alignment horizontal="right"/>
    </xf>
    <xf numFmtId="0" fontId="0" fillId="0" borderId="0" xfId="36" applyNumberFormat="1" applyFont="1" applyFill="1" applyBorder="1"/>
    <xf numFmtId="0" fontId="0" fillId="0" borderId="20" xfId="36" applyNumberFormat="1" applyFont="1" applyBorder="1" applyAlignment="1">
      <alignment horizontal="center" vertical="center"/>
    </xf>
    <xf numFmtId="0" fontId="0" fillId="0" borderId="1" xfId="36" applyNumberFormat="1" applyFont="1" applyBorder="1" applyAlignment="1">
      <alignment horizontal="right" vertical="center"/>
    </xf>
    <xf numFmtId="0" fontId="0" fillId="0" borderId="1" xfId="36" applyNumberFormat="1" applyFont="1" applyBorder="1" applyAlignment="1">
      <alignment horizontal="left" vertical="center"/>
    </xf>
    <xf numFmtId="2" fontId="0" fillId="0" borderId="1" xfId="36" applyNumberFormat="1" applyFont="1" applyBorder="1"/>
    <xf numFmtId="2" fontId="0" fillId="0" borderId="17" xfId="36" applyNumberFormat="1" applyFont="1" applyBorder="1"/>
    <xf numFmtId="164" fontId="27" fillId="0" borderId="19" xfId="44" applyNumberFormat="1" applyFont="1" applyBorder="1"/>
    <xf numFmtId="2" fontId="27" fillId="0" borderId="11" xfId="36" applyNumberFormat="1" applyFont="1" applyBorder="1"/>
    <xf numFmtId="164" fontId="27" fillId="0" borderId="31" xfId="44" applyNumberFormat="1" applyFont="1" applyBorder="1" applyAlignment="1"/>
    <xf numFmtId="2" fontId="27" fillId="0" borderId="32" xfId="36" applyNumberFormat="1" applyFont="1" applyBorder="1"/>
    <xf numFmtId="4" fontId="18" fillId="0" borderId="0" xfId="36" applyFont="1" applyFill="1" applyBorder="1" applyAlignment="1">
      <alignment horizontal="left" vertical="center"/>
    </xf>
    <xf numFmtId="4" fontId="18" fillId="0" borderId="0" xfId="36" applyFont="1" applyBorder="1" applyAlignment="1">
      <alignment horizontal="left" vertical="center"/>
    </xf>
    <xf numFmtId="4" fontId="9" fillId="0" borderId="7" xfId="36" applyFont="1" applyBorder="1" applyAlignment="1">
      <alignment horizontal="left"/>
    </xf>
    <xf numFmtId="175" fontId="9" fillId="0" borderId="1" xfId="36" applyNumberFormat="1" applyFont="1" applyBorder="1" applyAlignment="1">
      <alignment horizontal="right"/>
    </xf>
    <xf numFmtId="4" fontId="9" fillId="6" borderId="4" xfId="36" applyFont="1" applyFill="1" applyBorder="1" applyAlignment="1">
      <alignment horizontal="center"/>
    </xf>
    <xf numFmtId="4" fontId="9" fillId="6" borderId="5" xfId="36" applyFont="1" applyFill="1" applyBorder="1" applyAlignment="1">
      <alignment horizontal="center"/>
    </xf>
    <xf numFmtId="4" fontId="9" fillId="6" borderId="6" xfId="36" applyFont="1" applyFill="1" applyBorder="1" applyAlignment="1">
      <alignment horizontal="center"/>
    </xf>
    <xf numFmtId="4" fontId="9" fillId="14" borderId="4" xfId="36" applyFont="1" applyFill="1" applyBorder="1" applyAlignment="1">
      <alignment horizontal="center"/>
    </xf>
    <xf numFmtId="4" fontId="9" fillId="14" borderId="5" xfId="36" applyFont="1" applyFill="1" applyBorder="1" applyAlignment="1">
      <alignment horizontal="center"/>
    </xf>
    <xf numFmtId="4" fontId="9" fillId="14" borderId="6" xfId="36" applyFont="1" applyFill="1" applyBorder="1" applyAlignment="1">
      <alignment horizontal="center"/>
    </xf>
    <xf numFmtId="0" fontId="12" fillId="14" borderId="4" xfId="36" applyNumberFormat="1" applyFont="1" applyFill="1" applyBorder="1" applyAlignment="1">
      <alignment horizontal="center" vertical="center"/>
    </xf>
    <xf numFmtId="0" fontId="12" fillId="14" borderId="5" xfId="36" applyNumberFormat="1" applyFont="1" applyFill="1" applyBorder="1" applyAlignment="1">
      <alignment horizontal="center" vertical="center"/>
    </xf>
    <xf numFmtId="0" fontId="12" fillId="14" borderId="6" xfId="36" applyNumberFormat="1" applyFont="1" applyFill="1" applyBorder="1" applyAlignment="1">
      <alignment horizontal="center" vertical="center"/>
    </xf>
    <xf numFmtId="4" fontId="32" fillId="0" borderId="0" xfId="36" applyFont="1" applyAlignment="1">
      <alignment horizontal="left" vertical="top"/>
    </xf>
    <xf numFmtId="4" fontId="9" fillId="0" borderId="7" xfId="36" applyFont="1" applyBorder="1" applyAlignment="1">
      <alignment horizontal="left"/>
    </xf>
    <xf numFmtId="4" fontId="9" fillId="0" borderId="8" xfId="36" applyFont="1" applyBorder="1" applyAlignment="1">
      <alignment horizontal="left"/>
    </xf>
    <xf numFmtId="4" fontId="9" fillId="0" borderId="9" xfId="36" applyFont="1" applyBorder="1" applyAlignment="1">
      <alignment horizontal="left"/>
    </xf>
    <xf numFmtId="4" fontId="9" fillId="12" borderId="7" xfId="36" applyFont="1" applyFill="1" applyBorder="1" applyAlignment="1">
      <alignment horizontal="left"/>
    </xf>
    <xf numFmtId="4" fontId="9" fillId="12" borderId="8" xfId="36" applyFont="1" applyFill="1" applyBorder="1" applyAlignment="1">
      <alignment horizontal="left"/>
    </xf>
    <xf numFmtId="4" fontId="9" fillId="12" borderId="9" xfId="36" applyFont="1" applyFill="1" applyBorder="1" applyAlignment="1">
      <alignment horizontal="left"/>
    </xf>
    <xf numFmtId="164" fontId="17" fillId="8" borderId="29" xfId="37" applyNumberFormat="1" applyFont="1" applyFill="1" applyBorder="1" applyAlignment="1">
      <alignment horizontal="center" vertical="center"/>
    </xf>
    <xf numFmtId="164" fontId="17" fillId="8" borderId="30" xfId="37" applyNumberFormat="1" applyFont="1" applyFill="1" applyBorder="1" applyAlignment="1">
      <alignment horizontal="center" vertical="center"/>
    </xf>
    <xf numFmtId="164" fontId="17" fillId="8" borderId="19" xfId="37" applyNumberFormat="1" applyFont="1" applyFill="1" applyBorder="1" applyAlignment="1">
      <alignment horizontal="center" vertical="center"/>
    </xf>
    <xf numFmtId="164" fontId="17" fillId="8" borderId="11" xfId="37" applyNumberFormat="1" applyFont="1" applyFill="1" applyBorder="1" applyAlignment="1">
      <alignment horizontal="center" vertical="center"/>
    </xf>
    <xf numFmtId="4" fontId="9" fillId="11" borderId="4" xfId="36" applyFont="1" applyFill="1" applyBorder="1" applyAlignment="1">
      <alignment horizontal="center"/>
    </xf>
    <xf numFmtId="4" fontId="9" fillId="11" borderId="5" xfId="36" applyFont="1" applyFill="1" applyBorder="1" applyAlignment="1">
      <alignment horizontal="center"/>
    </xf>
    <xf numFmtId="4" fontId="9" fillId="11" borderId="6" xfId="36" applyFont="1" applyFill="1" applyBorder="1" applyAlignment="1">
      <alignment horizontal="center"/>
    </xf>
    <xf numFmtId="4" fontId="9" fillId="12" borderId="4" xfId="36" applyFont="1" applyFill="1" applyBorder="1" applyAlignment="1">
      <alignment horizontal="center"/>
    </xf>
    <xf numFmtId="4" fontId="9" fillId="12" borderId="5" xfId="36" applyFont="1" applyFill="1" applyBorder="1" applyAlignment="1">
      <alignment horizontal="center"/>
    </xf>
    <xf numFmtId="4" fontId="9" fillId="12" borderId="6" xfId="36" applyFont="1" applyFill="1" applyBorder="1" applyAlignment="1">
      <alignment horizontal="center"/>
    </xf>
    <xf numFmtId="0" fontId="12" fillId="8" borderId="4" xfId="36" applyNumberFormat="1" applyFont="1" applyFill="1" applyBorder="1" applyAlignment="1">
      <alignment horizontal="center" vertical="center"/>
    </xf>
    <xf numFmtId="0" fontId="12" fillId="8" borderId="5" xfId="36" applyNumberFormat="1" applyFont="1" applyFill="1" applyBorder="1" applyAlignment="1">
      <alignment horizontal="center" vertical="center"/>
    </xf>
    <xf numFmtId="0" fontId="12" fillId="8" borderId="6" xfId="36" applyNumberFormat="1" applyFont="1" applyFill="1" applyBorder="1" applyAlignment="1">
      <alignment horizontal="center" vertical="center"/>
    </xf>
    <xf numFmtId="4" fontId="9" fillId="13" borderId="7" xfId="36" applyFont="1" applyFill="1" applyBorder="1" applyAlignment="1">
      <alignment horizontal="center"/>
    </xf>
    <xf numFmtId="4" fontId="9" fillId="13" borderId="8" xfId="36" applyFont="1" applyFill="1" applyBorder="1" applyAlignment="1">
      <alignment horizontal="center"/>
    </xf>
    <xf numFmtId="4" fontId="9" fillId="13" borderId="9" xfId="36" applyFont="1" applyFill="1" applyBorder="1" applyAlignment="1">
      <alignment horizontal="center"/>
    </xf>
    <xf numFmtId="4" fontId="9" fillId="0" borderId="7" xfId="36" applyFont="1" applyFill="1" applyBorder="1" applyAlignment="1">
      <alignment horizontal="left"/>
    </xf>
    <xf numFmtId="4" fontId="9" fillId="0" borderId="8" xfId="36" applyFont="1" applyFill="1" applyBorder="1" applyAlignment="1">
      <alignment horizontal="left"/>
    </xf>
    <xf numFmtId="4" fontId="9" fillId="0" borderId="9" xfId="36" applyFont="1" applyFill="1" applyBorder="1" applyAlignment="1">
      <alignment horizontal="left"/>
    </xf>
    <xf numFmtId="0" fontId="17" fillId="8" borderId="18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9" fontId="12" fillId="0" borderId="18" xfId="2" applyFont="1" applyBorder="1" applyAlignment="1">
      <alignment horizontal="center"/>
    </xf>
    <xf numFmtId="9" fontId="12" fillId="0" borderId="19" xfId="2" applyFont="1" applyBorder="1" applyAlignment="1">
      <alignment horizontal="center"/>
    </xf>
    <xf numFmtId="9" fontId="12" fillId="0" borderId="11" xfId="2" applyFont="1" applyBorder="1" applyAlignment="1">
      <alignment horizontal="center"/>
    </xf>
    <xf numFmtId="0" fontId="9" fillId="10" borderId="22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0" fillId="0" borderId="35" xfId="36" applyNumberFormat="1" applyFont="1" applyBorder="1" applyAlignment="1">
      <alignment horizontal="center" vertical="center" wrapText="1"/>
    </xf>
    <xf numFmtId="0" fontId="0" fillId="0" borderId="36" xfId="36" applyNumberFormat="1" applyFont="1" applyBorder="1" applyAlignment="1">
      <alignment horizontal="center" vertical="center" wrapText="1"/>
    </xf>
    <xf numFmtId="0" fontId="0" fillId="0" borderId="39" xfId="36" applyNumberFormat="1" applyFont="1" applyBorder="1" applyAlignment="1">
      <alignment horizontal="center" vertical="center" wrapText="1"/>
    </xf>
    <xf numFmtId="0" fontId="0" fillId="0" borderId="7" xfId="36" applyNumberFormat="1" applyFont="1" applyBorder="1" applyAlignment="1">
      <alignment horizontal="center"/>
    </xf>
    <xf numFmtId="0" fontId="0" fillId="0" borderId="8" xfId="36" applyNumberFormat="1" applyFont="1" applyBorder="1" applyAlignment="1">
      <alignment horizontal="center"/>
    </xf>
    <xf numFmtId="0" fontId="0" fillId="0" borderId="9" xfId="36" applyNumberFormat="1" applyFont="1" applyBorder="1" applyAlignment="1">
      <alignment horizontal="center"/>
    </xf>
    <xf numFmtId="0" fontId="0" fillId="0" borderId="7" xfId="36" applyNumberFormat="1" applyFont="1" applyBorder="1" applyAlignment="1">
      <alignment horizontal="right"/>
    </xf>
    <xf numFmtId="0" fontId="0" fillId="0" borderId="8" xfId="36" applyNumberFormat="1" applyFont="1" applyBorder="1" applyAlignment="1">
      <alignment horizontal="right"/>
    </xf>
    <xf numFmtId="0" fontId="0" fillId="0" borderId="9" xfId="36" applyNumberFormat="1" applyFont="1" applyBorder="1" applyAlignment="1">
      <alignment horizontal="right"/>
    </xf>
    <xf numFmtId="0" fontId="0" fillId="0" borderId="1" xfId="36" applyNumberFormat="1" applyFont="1" applyFill="1" applyBorder="1" applyAlignment="1">
      <alignment horizontal="right"/>
    </xf>
    <xf numFmtId="0" fontId="0" fillId="0" borderId="18" xfId="36" applyNumberFormat="1" applyFont="1" applyBorder="1" applyAlignment="1">
      <alignment horizontal="center" vertical="center" wrapText="1"/>
    </xf>
    <xf numFmtId="0" fontId="0" fillId="0" borderId="20" xfId="36" applyNumberFormat="1" applyFont="1" applyBorder="1" applyAlignment="1">
      <alignment horizontal="center" vertical="center" wrapText="1"/>
    </xf>
    <xf numFmtId="0" fontId="0" fillId="0" borderId="19" xfId="36" applyNumberFormat="1" applyFont="1" applyBorder="1" applyAlignment="1">
      <alignment horizontal="center" vertical="center" wrapText="1"/>
    </xf>
    <xf numFmtId="0" fontId="0" fillId="0" borderId="1" xfId="36" applyNumberFormat="1" applyFont="1" applyBorder="1" applyAlignment="1">
      <alignment horizontal="center" vertical="center" wrapText="1"/>
    </xf>
    <xf numFmtId="0" fontId="0" fillId="0" borderId="11" xfId="36" applyNumberFormat="1" applyFont="1" applyBorder="1" applyAlignment="1">
      <alignment horizontal="center" vertical="center" wrapText="1"/>
    </xf>
    <xf numFmtId="0" fontId="0" fillId="0" borderId="17" xfId="36" applyNumberFormat="1" applyFont="1" applyBorder="1" applyAlignment="1">
      <alignment horizontal="center" vertical="center" wrapText="1"/>
    </xf>
    <xf numFmtId="0" fontId="0" fillId="0" borderId="21" xfId="36" applyNumberFormat="1" applyFont="1" applyBorder="1" applyAlignment="1">
      <alignment horizontal="center"/>
    </xf>
    <xf numFmtId="0" fontId="0" fillId="0" borderId="31" xfId="36" applyNumberFormat="1" applyFont="1" applyBorder="1" applyAlignment="1">
      <alignment horizontal="center"/>
    </xf>
    <xf numFmtId="0" fontId="0" fillId="0" borderId="32" xfId="36" applyNumberFormat="1" applyFont="1" applyBorder="1" applyAlignment="1">
      <alignment horizontal="center"/>
    </xf>
    <xf numFmtId="0" fontId="0" fillId="0" borderId="7" xfId="36" applyNumberFormat="1" applyFont="1" applyFill="1" applyBorder="1" applyAlignment="1">
      <alignment horizontal="right"/>
    </xf>
    <xf numFmtId="0" fontId="0" fillId="0" borderId="8" xfId="36" applyNumberFormat="1" applyFont="1" applyFill="1" applyBorder="1" applyAlignment="1">
      <alignment horizontal="right"/>
    </xf>
    <xf numFmtId="0" fontId="0" fillId="0" borderId="9" xfId="36" applyNumberFormat="1" applyFont="1" applyFill="1" applyBorder="1" applyAlignment="1">
      <alignment horizontal="right"/>
    </xf>
    <xf numFmtId="0" fontId="0" fillId="0" borderId="4" xfId="36" applyNumberFormat="1" applyFont="1" applyBorder="1" applyAlignment="1">
      <alignment horizontal="center" vertical="center" wrapText="1"/>
    </xf>
    <xf numFmtId="0" fontId="0" fillId="0" borderId="5" xfId="36" applyNumberFormat="1" applyFont="1" applyBorder="1" applyAlignment="1">
      <alignment horizontal="center" vertical="center" wrapText="1"/>
    </xf>
    <xf numFmtId="0" fontId="0" fillId="0" borderId="6" xfId="36" applyNumberFormat="1" applyFont="1" applyBorder="1" applyAlignment="1">
      <alignment horizontal="center" vertical="center" wrapText="1"/>
    </xf>
    <xf numFmtId="0" fontId="0" fillId="0" borderId="16" xfId="36" applyNumberFormat="1" applyFont="1" applyBorder="1" applyAlignment="1">
      <alignment horizontal="center" vertical="center" wrapText="1"/>
    </xf>
    <xf numFmtId="0" fontId="0" fillId="0" borderId="10" xfId="36" applyNumberFormat="1" applyFont="1" applyBorder="1" applyAlignment="1">
      <alignment horizontal="center" vertical="center" wrapText="1"/>
    </xf>
    <xf numFmtId="0" fontId="0" fillId="0" borderId="45" xfId="36" applyNumberFormat="1" applyFont="1" applyBorder="1" applyAlignment="1">
      <alignment horizontal="center" vertical="center" wrapText="1"/>
    </xf>
    <xf numFmtId="0" fontId="0" fillId="0" borderId="1" xfId="36" applyNumberFormat="1" applyFont="1" applyBorder="1" applyAlignment="1">
      <alignment horizontal="center"/>
    </xf>
    <xf numFmtId="0" fontId="9" fillId="10" borderId="4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</cellXfs>
  <cellStyles count="45">
    <cellStyle name="Hiperlink" xfId="1" builtinId="8"/>
    <cellStyle name="Moeda 2" xfId="6" xr:uid="{00000000-0005-0000-0000-000001000000}"/>
    <cellStyle name="Moeda 2 2" xfId="40" xr:uid="{00000000-0005-0000-0000-000002000000}"/>
    <cellStyle name="Moeda 2 3" xfId="41" xr:uid="{00000000-0005-0000-0000-000003000000}"/>
    <cellStyle name="Moeda 3" xfId="7" xr:uid="{00000000-0005-0000-0000-000004000000}"/>
    <cellStyle name="Moeda 4" xfId="39" xr:uid="{00000000-0005-0000-0000-000005000000}"/>
    <cellStyle name="Normal" xfId="0" builtinId="0"/>
    <cellStyle name="Normal 10" xfId="26" xr:uid="{00000000-0005-0000-0000-000007000000}"/>
    <cellStyle name="Normal 11" xfId="27" xr:uid="{00000000-0005-0000-0000-000008000000}"/>
    <cellStyle name="Normal 12" xfId="30" xr:uid="{00000000-0005-0000-0000-000009000000}"/>
    <cellStyle name="Normal 13" xfId="32" xr:uid="{00000000-0005-0000-0000-00000A000000}"/>
    <cellStyle name="Normal 14" xfId="34" xr:uid="{00000000-0005-0000-0000-00000B000000}"/>
    <cellStyle name="Normal 15" xfId="36" xr:uid="{00000000-0005-0000-0000-00000C000000}"/>
    <cellStyle name="Normal 2" xfId="8" xr:uid="{00000000-0005-0000-0000-00000D000000}"/>
    <cellStyle name="Normal 2 2" xfId="9" xr:uid="{00000000-0005-0000-0000-00000E000000}"/>
    <cellStyle name="Normal 2 3" xfId="25" xr:uid="{00000000-0005-0000-0000-00000F000000}"/>
    <cellStyle name="Normal 3" xfId="10" xr:uid="{00000000-0005-0000-0000-000010000000}"/>
    <cellStyle name="Normal 4" xfId="11" xr:uid="{00000000-0005-0000-0000-000011000000}"/>
    <cellStyle name="Normal 5" xfId="12" xr:uid="{00000000-0005-0000-0000-000012000000}"/>
    <cellStyle name="Normal 6" xfId="4" xr:uid="{00000000-0005-0000-0000-000013000000}"/>
    <cellStyle name="Normal 7" xfId="13" xr:uid="{00000000-0005-0000-0000-000014000000}"/>
    <cellStyle name="Normal 8" xfId="14" xr:uid="{00000000-0005-0000-0000-000015000000}"/>
    <cellStyle name="Normal 9" xfId="15" xr:uid="{00000000-0005-0000-0000-000016000000}"/>
    <cellStyle name="Porcentagem" xfId="2" builtinId="5"/>
    <cellStyle name="Porcentagem 2" xfId="16" xr:uid="{00000000-0005-0000-0000-000018000000}"/>
    <cellStyle name="Porcentagem 2 2" xfId="42" xr:uid="{00000000-0005-0000-0000-000019000000}"/>
    <cellStyle name="Porcentagem 3" xfId="17" xr:uid="{00000000-0005-0000-0000-00001A000000}"/>
    <cellStyle name="Porcentagem 4" xfId="38" xr:uid="{00000000-0005-0000-0000-00001B000000}"/>
    <cellStyle name="Separador de milhares 10" xfId="28" xr:uid="{00000000-0005-0000-0000-00001D000000}"/>
    <cellStyle name="Separador de milhares 11" xfId="31" xr:uid="{00000000-0005-0000-0000-00001E000000}"/>
    <cellStyle name="Separador de milhares 12" xfId="33" xr:uid="{00000000-0005-0000-0000-00001F000000}"/>
    <cellStyle name="Separador de milhares 13" xfId="35" xr:uid="{00000000-0005-0000-0000-000020000000}"/>
    <cellStyle name="Separador de milhares 14" xfId="37" xr:uid="{00000000-0005-0000-0000-000021000000}"/>
    <cellStyle name="Separador de milhares 15" xfId="43" xr:uid="{00000000-0005-0000-0000-000022000000}"/>
    <cellStyle name="Separador de milhares 16" xfId="44" xr:uid="{00000000-0005-0000-0000-000023000000}"/>
    <cellStyle name="Separador de milhares 2" xfId="18" xr:uid="{00000000-0005-0000-0000-000024000000}"/>
    <cellStyle name="Separador de milhares 3" xfId="19" xr:uid="{00000000-0005-0000-0000-000025000000}"/>
    <cellStyle name="Separador de milhares 4" xfId="20" xr:uid="{00000000-0005-0000-0000-000026000000}"/>
    <cellStyle name="Separador de milhares 5" xfId="5" xr:uid="{00000000-0005-0000-0000-000027000000}"/>
    <cellStyle name="Separador de milhares 6" xfId="21" xr:uid="{00000000-0005-0000-0000-000028000000}"/>
    <cellStyle name="Separador de milhares 7" xfId="22" xr:uid="{00000000-0005-0000-0000-000029000000}"/>
    <cellStyle name="Separador de milhares 8" xfId="23" xr:uid="{00000000-0005-0000-0000-00002A000000}"/>
    <cellStyle name="Separador de milhares 9" xfId="29" xr:uid="{00000000-0005-0000-0000-00002B000000}"/>
    <cellStyle name="Vírgula" xfId="3" builtinId="3"/>
    <cellStyle name="Vírgula 2" xfId="2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TRANSPORTE%20ESCOLAR%20%202019%20TUCUNDU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ha 01"/>
      <sheetName val="Resumo"/>
      <sheetName val="Roteiros"/>
      <sheetName val="Encargos Sociais"/>
      <sheetName val="Caged"/>
      <sheetName val="Depreciação"/>
      <sheetName val="C. do Capital"/>
      <sheetName val="BDI"/>
      <sheetName val="FOLHA "/>
    </sheetNames>
    <sheetDataSet>
      <sheetData sheetId="0">
        <row r="3">
          <cell r="A3" t="str">
            <v>Serviço de Transporte Escolar - Tucunduva/RS</v>
          </cell>
        </row>
        <row r="10">
          <cell r="G10">
            <v>98.27788000000001</v>
          </cell>
        </row>
      </sheetData>
      <sheetData sheetId="1"/>
      <sheetData sheetId="2">
        <row r="20">
          <cell r="J20">
            <v>98.27788000000001</v>
          </cell>
        </row>
      </sheetData>
      <sheetData sheetId="3">
        <row r="34">
          <cell r="C34">
            <v>0.40160000000000001</v>
          </cell>
        </row>
      </sheetData>
      <sheetData sheetId="4"/>
      <sheetData sheetId="5">
        <row r="17">
          <cell r="B17">
            <v>70.73</v>
          </cell>
        </row>
      </sheetData>
      <sheetData sheetId="6"/>
      <sheetData sheetId="7">
        <row r="22">
          <cell r="C22">
            <v>0.21630000000000002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zoomScale="75" workbookViewId="0">
      <selection activeCell="C17" sqref="C17"/>
    </sheetView>
  </sheetViews>
  <sheetFormatPr defaultRowHeight="12.75" x14ac:dyDescent="0.2"/>
  <cols>
    <col min="1" max="1" width="7.7109375" style="102" customWidth="1"/>
    <col min="2" max="2" width="9.28515625" style="102" customWidth="1"/>
    <col min="3" max="3" width="9.5703125" style="102" bestFit="1" customWidth="1"/>
    <col min="4" max="4" width="11.28515625" style="102" bestFit="1" customWidth="1"/>
    <col min="5" max="5" width="11.42578125" style="102" bestFit="1" customWidth="1"/>
    <col min="6" max="6" width="13.140625" style="102" bestFit="1" customWidth="1"/>
    <col min="7" max="7" width="11.42578125" style="102" bestFit="1" customWidth="1"/>
    <col min="8" max="8" width="13.85546875" style="102" bestFit="1" customWidth="1"/>
    <col min="9" max="9" width="10.85546875" style="102" bestFit="1" customWidth="1"/>
    <col min="10" max="10" width="18.7109375" style="102" bestFit="1" customWidth="1"/>
    <col min="11" max="11" width="16" style="102" customWidth="1"/>
    <col min="12" max="13" width="13.28515625" style="102" customWidth="1"/>
    <col min="14" max="14" width="10.42578125" style="102" bestFit="1" customWidth="1"/>
    <col min="15" max="256" width="8.85546875" style="102"/>
    <col min="257" max="257" width="9.5703125" style="102" customWidth="1"/>
    <col min="258" max="258" width="13.28515625" style="102" customWidth="1"/>
    <col min="259" max="260" width="13.7109375" style="102" customWidth="1"/>
    <col min="261" max="261" width="13.5703125" style="102" customWidth="1"/>
    <col min="262" max="263" width="13.85546875" style="102" customWidth="1"/>
    <col min="264" max="264" width="16.42578125" style="102" customWidth="1"/>
    <col min="265" max="265" width="15.5703125" style="102" customWidth="1"/>
    <col min="266" max="266" width="17.85546875" style="102" customWidth="1"/>
    <col min="267" max="267" width="16" style="102" customWidth="1"/>
    <col min="268" max="269" width="13.28515625" style="102" customWidth="1"/>
    <col min="270" max="270" width="10.42578125" style="102" bestFit="1" customWidth="1"/>
    <col min="271" max="512" width="8.85546875" style="102"/>
    <col min="513" max="513" width="9.5703125" style="102" customWidth="1"/>
    <col min="514" max="514" width="13.28515625" style="102" customWidth="1"/>
    <col min="515" max="516" width="13.7109375" style="102" customWidth="1"/>
    <col min="517" max="517" width="13.5703125" style="102" customWidth="1"/>
    <col min="518" max="519" width="13.85546875" style="102" customWidth="1"/>
    <col min="520" max="520" width="16.42578125" style="102" customWidth="1"/>
    <col min="521" max="521" width="15.5703125" style="102" customWidth="1"/>
    <col min="522" max="522" width="17.85546875" style="102" customWidth="1"/>
    <col min="523" max="523" width="16" style="102" customWidth="1"/>
    <col min="524" max="525" width="13.28515625" style="102" customWidth="1"/>
    <col min="526" max="526" width="10.42578125" style="102" bestFit="1" customWidth="1"/>
    <col min="527" max="768" width="8.85546875" style="102"/>
    <col min="769" max="769" width="9.5703125" style="102" customWidth="1"/>
    <col min="770" max="770" width="13.28515625" style="102" customWidth="1"/>
    <col min="771" max="772" width="13.7109375" style="102" customWidth="1"/>
    <col min="773" max="773" width="13.5703125" style="102" customWidth="1"/>
    <col min="774" max="775" width="13.85546875" style="102" customWidth="1"/>
    <col min="776" max="776" width="16.42578125" style="102" customWidth="1"/>
    <col min="777" max="777" width="15.5703125" style="102" customWidth="1"/>
    <col min="778" max="778" width="17.85546875" style="102" customWidth="1"/>
    <col min="779" max="779" width="16" style="102" customWidth="1"/>
    <col min="780" max="781" width="13.28515625" style="102" customWidth="1"/>
    <col min="782" max="782" width="10.42578125" style="102" bestFit="1" customWidth="1"/>
    <col min="783" max="1024" width="8.85546875" style="102"/>
    <col min="1025" max="1025" width="9.5703125" style="102" customWidth="1"/>
    <col min="1026" max="1026" width="13.28515625" style="102" customWidth="1"/>
    <col min="1027" max="1028" width="13.7109375" style="102" customWidth="1"/>
    <col min="1029" max="1029" width="13.5703125" style="102" customWidth="1"/>
    <col min="1030" max="1031" width="13.85546875" style="102" customWidth="1"/>
    <col min="1032" max="1032" width="16.42578125" style="102" customWidth="1"/>
    <col min="1033" max="1033" width="15.5703125" style="102" customWidth="1"/>
    <col min="1034" max="1034" width="17.85546875" style="102" customWidth="1"/>
    <col min="1035" max="1035" width="16" style="102" customWidth="1"/>
    <col min="1036" max="1037" width="13.28515625" style="102" customWidth="1"/>
    <col min="1038" max="1038" width="10.42578125" style="102" bestFit="1" customWidth="1"/>
    <col min="1039" max="1280" width="8.85546875" style="102"/>
    <col min="1281" max="1281" width="9.5703125" style="102" customWidth="1"/>
    <col min="1282" max="1282" width="13.28515625" style="102" customWidth="1"/>
    <col min="1283" max="1284" width="13.7109375" style="102" customWidth="1"/>
    <col min="1285" max="1285" width="13.5703125" style="102" customWidth="1"/>
    <col min="1286" max="1287" width="13.85546875" style="102" customWidth="1"/>
    <col min="1288" max="1288" width="16.42578125" style="102" customWidth="1"/>
    <col min="1289" max="1289" width="15.5703125" style="102" customWidth="1"/>
    <col min="1290" max="1290" width="17.85546875" style="102" customWidth="1"/>
    <col min="1291" max="1291" width="16" style="102" customWidth="1"/>
    <col min="1292" max="1293" width="13.28515625" style="102" customWidth="1"/>
    <col min="1294" max="1294" width="10.42578125" style="102" bestFit="1" customWidth="1"/>
    <col min="1295" max="1536" width="8.85546875" style="102"/>
    <col min="1537" max="1537" width="9.5703125" style="102" customWidth="1"/>
    <col min="1538" max="1538" width="13.28515625" style="102" customWidth="1"/>
    <col min="1539" max="1540" width="13.7109375" style="102" customWidth="1"/>
    <col min="1541" max="1541" width="13.5703125" style="102" customWidth="1"/>
    <col min="1542" max="1543" width="13.85546875" style="102" customWidth="1"/>
    <col min="1544" max="1544" width="16.42578125" style="102" customWidth="1"/>
    <col min="1545" max="1545" width="15.5703125" style="102" customWidth="1"/>
    <col min="1546" max="1546" width="17.85546875" style="102" customWidth="1"/>
    <col min="1547" max="1547" width="16" style="102" customWidth="1"/>
    <col min="1548" max="1549" width="13.28515625" style="102" customWidth="1"/>
    <col min="1550" max="1550" width="10.42578125" style="102" bestFit="1" customWidth="1"/>
    <col min="1551" max="1792" width="8.85546875" style="102"/>
    <col min="1793" max="1793" width="9.5703125" style="102" customWidth="1"/>
    <col min="1794" max="1794" width="13.28515625" style="102" customWidth="1"/>
    <col min="1795" max="1796" width="13.7109375" style="102" customWidth="1"/>
    <col min="1797" max="1797" width="13.5703125" style="102" customWidth="1"/>
    <col min="1798" max="1799" width="13.85546875" style="102" customWidth="1"/>
    <col min="1800" max="1800" width="16.42578125" style="102" customWidth="1"/>
    <col min="1801" max="1801" width="15.5703125" style="102" customWidth="1"/>
    <col min="1802" max="1802" width="17.85546875" style="102" customWidth="1"/>
    <col min="1803" max="1803" width="16" style="102" customWidth="1"/>
    <col min="1804" max="1805" width="13.28515625" style="102" customWidth="1"/>
    <col min="1806" max="1806" width="10.42578125" style="102" bestFit="1" customWidth="1"/>
    <col min="1807" max="2048" width="8.85546875" style="102"/>
    <col min="2049" max="2049" width="9.5703125" style="102" customWidth="1"/>
    <col min="2050" max="2050" width="13.28515625" style="102" customWidth="1"/>
    <col min="2051" max="2052" width="13.7109375" style="102" customWidth="1"/>
    <col min="2053" max="2053" width="13.5703125" style="102" customWidth="1"/>
    <col min="2054" max="2055" width="13.85546875" style="102" customWidth="1"/>
    <col min="2056" max="2056" width="16.42578125" style="102" customWidth="1"/>
    <col min="2057" max="2057" width="15.5703125" style="102" customWidth="1"/>
    <col min="2058" max="2058" width="17.85546875" style="102" customWidth="1"/>
    <col min="2059" max="2059" width="16" style="102" customWidth="1"/>
    <col min="2060" max="2061" width="13.28515625" style="102" customWidth="1"/>
    <col min="2062" max="2062" width="10.42578125" style="102" bestFit="1" customWidth="1"/>
    <col min="2063" max="2304" width="8.85546875" style="102"/>
    <col min="2305" max="2305" width="9.5703125" style="102" customWidth="1"/>
    <col min="2306" max="2306" width="13.28515625" style="102" customWidth="1"/>
    <col min="2307" max="2308" width="13.7109375" style="102" customWidth="1"/>
    <col min="2309" max="2309" width="13.5703125" style="102" customWidth="1"/>
    <col min="2310" max="2311" width="13.85546875" style="102" customWidth="1"/>
    <col min="2312" max="2312" width="16.42578125" style="102" customWidth="1"/>
    <col min="2313" max="2313" width="15.5703125" style="102" customWidth="1"/>
    <col min="2314" max="2314" width="17.85546875" style="102" customWidth="1"/>
    <col min="2315" max="2315" width="16" style="102" customWidth="1"/>
    <col min="2316" max="2317" width="13.28515625" style="102" customWidth="1"/>
    <col min="2318" max="2318" width="10.42578125" style="102" bestFit="1" customWidth="1"/>
    <col min="2319" max="2560" width="8.85546875" style="102"/>
    <col min="2561" max="2561" width="9.5703125" style="102" customWidth="1"/>
    <col min="2562" max="2562" width="13.28515625" style="102" customWidth="1"/>
    <col min="2563" max="2564" width="13.7109375" style="102" customWidth="1"/>
    <col min="2565" max="2565" width="13.5703125" style="102" customWidth="1"/>
    <col min="2566" max="2567" width="13.85546875" style="102" customWidth="1"/>
    <col min="2568" max="2568" width="16.42578125" style="102" customWidth="1"/>
    <col min="2569" max="2569" width="15.5703125" style="102" customWidth="1"/>
    <col min="2570" max="2570" width="17.85546875" style="102" customWidth="1"/>
    <col min="2571" max="2571" width="16" style="102" customWidth="1"/>
    <col min="2572" max="2573" width="13.28515625" style="102" customWidth="1"/>
    <col min="2574" max="2574" width="10.42578125" style="102" bestFit="1" customWidth="1"/>
    <col min="2575" max="2816" width="8.85546875" style="102"/>
    <col min="2817" max="2817" width="9.5703125" style="102" customWidth="1"/>
    <col min="2818" max="2818" width="13.28515625" style="102" customWidth="1"/>
    <col min="2819" max="2820" width="13.7109375" style="102" customWidth="1"/>
    <col min="2821" max="2821" width="13.5703125" style="102" customWidth="1"/>
    <col min="2822" max="2823" width="13.85546875" style="102" customWidth="1"/>
    <col min="2824" max="2824" width="16.42578125" style="102" customWidth="1"/>
    <col min="2825" max="2825" width="15.5703125" style="102" customWidth="1"/>
    <col min="2826" max="2826" width="17.85546875" style="102" customWidth="1"/>
    <col min="2827" max="2827" width="16" style="102" customWidth="1"/>
    <col min="2828" max="2829" width="13.28515625" style="102" customWidth="1"/>
    <col min="2830" max="2830" width="10.42578125" style="102" bestFit="1" customWidth="1"/>
    <col min="2831" max="3072" width="8.85546875" style="102"/>
    <col min="3073" max="3073" width="9.5703125" style="102" customWidth="1"/>
    <col min="3074" max="3074" width="13.28515625" style="102" customWidth="1"/>
    <col min="3075" max="3076" width="13.7109375" style="102" customWidth="1"/>
    <col min="3077" max="3077" width="13.5703125" style="102" customWidth="1"/>
    <col min="3078" max="3079" width="13.85546875" style="102" customWidth="1"/>
    <col min="3080" max="3080" width="16.42578125" style="102" customWidth="1"/>
    <col min="3081" max="3081" width="15.5703125" style="102" customWidth="1"/>
    <col min="3082" max="3082" width="17.85546875" style="102" customWidth="1"/>
    <col min="3083" max="3083" width="16" style="102" customWidth="1"/>
    <col min="3084" max="3085" width="13.28515625" style="102" customWidth="1"/>
    <col min="3086" max="3086" width="10.42578125" style="102" bestFit="1" customWidth="1"/>
    <col min="3087" max="3328" width="8.85546875" style="102"/>
    <col min="3329" max="3329" width="9.5703125" style="102" customWidth="1"/>
    <col min="3330" max="3330" width="13.28515625" style="102" customWidth="1"/>
    <col min="3331" max="3332" width="13.7109375" style="102" customWidth="1"/>
    <col min="3333" max="3333" width="13.5703125" style="102" customWidth="1"/>
    <col min="3334" max="3335" width="13.85546875" style="102" customWidth="1"/>
    <col min="3336" max="3336" width="16.42578125" style="102" customWidth="1"/>
    <col min="3337" max="3337" width="15.5703125" style="102" customWidth="1"/>
    <col min="3338" max="3338" width="17.85546875" style="102" customWidth="1"/>
    <col min="3339" max="3339" width="16" style="102" customWidth="1"/>
    <col min="3340" max="3341" width="13.28515625" style="102" customWidth="1"/>
    <col min="3342" max="3342" width="10.42578125" style="102" bestFit="1" customWidth="1"/>
    <col min="3343" max="3584" width="8.85546875" style="102"/>
    <col min="3585" max="3585" width="9.5703125" style="102" customWidth="1"/>
    <col min="3586" max="3586" width="13.28515625" style="102" customWidth="1"/>
    <col min="3587" max="3588" width="13.7109375" style="102" customWidth="1"/>
    <col min="3589" max="3589" width="13.5703125" style="102" customWidth="1"/>
    <col min="3590" max="3591" width="13.85546875" style="102" customWidth="1"/>
    <col min="3592" max="3592" width="16.42578125" style="102" customWidth="1"/>
    <col min="3593" max="3593" width="15.5703125" style="102" customWidth="1"/>
    <col min="3594" max="3594" width="17.85546875" style="102" customWidth="1"/>
    <col min="3595" max="3595" width="16" style="102" customWidth="1"/>
    <col min="3596" max="3597" width="13.28515625" style="102" customWidth="1"/>
    <col min="3598" max="3598" width="10.42578125" style="102" bestFit="1" customWidth="1"/>
    <col min="3599" max="3840" width="8.85546875" style="102"/>
    <col min="3841" max="3841" width="9.5703125" style="102" customWidth="1"/>
    <col min="3842" max="3842" width="13.28515625" style="102" customWidth="1"/>
    <col min="3843" max="3844" width="13.7109375" style="102" customWidth="1"/>
    <col min="3845" max="3845" width="13.5703125" style="102" customWidth="1"/>
    <col min="3846" max="3847" width="13.85546875" style="102" customWidth="1"/>
    <col min="3848" max="3848" width="16.42578125" style="102" customWidth="1"/>
    <col min="3849" max="3849" width="15.5703125" style="102" customWidth="1"/>
    <col min="3850" max="3850" width="17.85546875" style="102" customWidth="1"/>
    <col min="3851" max="3851" width="16" style="102" customWidth="1"/>
    <col min="3852" max="3853" width="13.28515625" style="102" customWidth="1"/>
    <col min="3854" max="3854" width="10.42578125" style="102" bestFit="1" customWidth="1"/>
    <col min="3855" max="4096" width="8.85546875" style="102"/>
    <col min="4097" max="4097" width="9.5703125" style="102" customWidth="1"/>
    <col min="4098" max="4098" width="13.28515625" style="102" customWidth="1"/>
    <col min="4099" max="4100" width="13.7109375" style="102" customWidth="1"/>
    <col min="4101" max="4101" width="13.5703125" style="102" customWidth="1"/>
    <col min="4102" max="4103" width="13.85546875" style="102" customWidth="1"/>
    <col min="4104" max="4104" width="16.42578125" style="102" customWidth="1"/>
    <col min="4105" max="4105" width="15.5703125" style="102" customWidth="1"/>
    <col min="4106" max="4106" width="17.85546875" style="102" customWidth="1"/>
    <col min="4107" max="4107" width="16" style="102" customWidth="1"/>
    <col min="4108" max="4109" width="13.28515625" style="102" customWidth="1"/>
    <col min="4110" max="4110" width="10.42578125" style="102" bestFit="1" customWidth="1"/>
    <col min="4111" max="4352" width="8.85546875" style="102"/>
    <col min="4353" max="4353" width="9.5703125" style="102" customWidth="1"/>
    <col min="4354" max="4354" width="13.28515625" style="102" customWidth="1"/>
    <col min="4355" max="4356" width="13.7109375" style="102" customWidth="1"/>
    <col min="4357" max="4357" width="13.5703125" style="102" customWidth="1"/>
    <col min="4358" max="4359" width="13.85546875" style="102" customWidth="1"/>
    <col min="4360" max="4360" width="16.42578125" style="102" customWidth="1"/>
    <col min="4361" max="4361" width="15.5703125" style="102" customWidth="1"/>
    <col min="4362" max="4362" width="17.85546875" style="102" customWidth="1"/>
    <col min="4363" max="4363" width="16" style="102" customWidth="1"/>
    <col min="4364" max="4365" width="13.28515625" style="102" customWidth="1"/>
    <col min="4366" max="4366" width="10.42578125" style="102" bestFit="1" customWidth="1"/>
    <col min="4367" max="4608" width="8.85546875" style="102"/>
    <col min="4609" max="4609" width="9.5703125" style="102" customWidth="1"/>
    <col min="4610" max="4610" width="13.28515625" style="102" customWidth="1"/>
    <col min="4611" max="4612" width="13.7109375" style="102" customWidth="1"/>
    <col min="4613" max="4613" width="13.5703125" style="102" customWidth="1"/>
    <col min="4614" max="4615" width="13.85546875" style="102" customWidth="1"/>
    <col min="4616" max="4616" width="16.42578125" style="102" customWidth="1"/>
    <col min="4617" max="4617" width="15.5703125" style="102" customWidth="1"/>
    <col min="4618" max="4618" width="17.85546875" style="102" customWidth="1"/>
    <col min="4619" max="4619" width="16" style="102" customWidth="1"/>
    <col min="4620" max="4621" width="13.28515625" style="102" customWidth="1"/>
    <col min="4622" max="4622" width="10.42578125" style="102" bestFit="1" customWidth="1"/>
    <col min="4623" max="4864" width="8.85546875" style="102"/>
    <col min="4865" max="4865" width="9.5703125" style="102" customWidth="1"/>
    <col min="4866" max="4866" width="13.28515625" style="102" customWidth="1"/>
    <col min="4867" max="4868" width="13.7109375" style="102" customWidth="1"/>
    <col min="4869" max="4869" width="13.5703125" style="102" customWidth="1"/>
    <col min="4870" max="4871" width="13.85546875" style="102" customWidth="1"/>
    <col min="4872" max="4872" width="16.42578125" style="102" customWidth="1"/>
    <col min="4873" max="4873" width="15.5703125" style="102" customWidth="1"/>
    <col min="4874" max="4874" width="17.85546875" style="102" customWidth="1"/>
    <col min="4875" max="4875" width="16" style="102" customWidth="1"/>
    <col min="4876" max="4877" width="13.28515625" style="102" customWidth="1"/>
    <col min="4878" max="4878" width="10.42578125" style="102" bestFit="1" customWidth="1"/>
    <col min="4879" max="5120" width="8.85546875" style="102"/>
    <col min="5121" max="5121" width="9.5703125" style="102" customWidth="1"/>
    <col min="5122" max="5122" width="13.28515625" style="102" customWidth="1"/>
    <col min="5123" max="5124" width="13.7109375" style="102" customWidth="1"/>
    <col min="5125" max="5125" width="13.5703125" style="102" customWidth="1"/>
    <col min="5126" max="5127" width="13.85546875" style="102" customWidth="1"/>
    <col min="5128" max="5128" width="16.42578125" style="102" customWidth="1"/>
    <col min="5129" max="5129" width="15.5703125" style="102" customWidth="1"/>
    <col min="5130" max="5130" width="17.85546875" style="102" customWidth="1"/>
    <col min="5131" max="5131" width="16" style="102" customWidth="1"/>
    <col min="5132" max="5133" width="13.28515625" style="102" customWidth="1"/>
    <col min="5134" max="5134" width="10.42578125" style="102" bestFit="1" customWidth="1"/>
    <col min="5135" max="5376" width="8.85546875" style="102"/>
    <col min="5377" max="5377" width="9.5703125" style="102" customWidth="1"/>
    <col min="5378" max="5378" width="13.28515625" style="102" customWidth="1"/>
    <col min="5379" max="5380" width="13.7109375" style="102" customWidth="1"/>
    <col min="5381" max="5381" width="13.5703125" style="102" customWidth="1"/>
    <col min="5382" max="5383" width="13.85546875" style="102" customWidth="1"/>
    <col min="5384" max="5384" width="16.42578125" style="102" customWidth="1"/>
    <col min="5385" max="5385" width="15.5703125" style="102" customWidth="1"/>
    <col min="5386" max="5386" width="17.85546875" style="102" customWidth="1"/>
    <col min="5387" max="5387" width="16" style="102" customWidth="1"/>
    <col min="5388" max="5389" width="13.28515625" style="102" customWidth="1"/>
    <col min="5390" max="5390" width="10.42578125" style="102" bestFit="1" customWidth="1"/>
    <col min="5391" max="5632" width="8.85546875" style="102"/>
    <col min="5633" max="5633" width="9.5703125" style="102" customWidth="1"/>
    <col min="5634" max="5634" width="13.28515625" style="102" customWidth="1"/>
    <col min="5635" max="5636" width="13.7109375" style="102" customWidth="1"/>
    <col min="5637" max="5637" width="13.5703125" style="102" customWidth="1"/>
    <col min="5638" max="5639" width="13.85546875" style="102" customWidth="1"/>
    <col min="5640" max="5640" width="16.42578125" style="102" customWidth="1"/>
    <col min="5641" max="5641" width="15.5703125" style="102" customWidth="1"/>
    <col min="5642" max="5642" width="17.85546875" style="102" customWidth="1"/>
    <col min="5643" max="5643" width="16" style="102" customWidth="1"/>
    <col min="5644" max="5645" width="13.28515625" style="102" customWidth="1"/>
    <col min="5646" max="5646" width="10.42578125" style="102" bestFit="1" customWidth="1"/>
    <col min="5647" max="5888" width="8.85546875" style="102"/>
    <col min="5889" max="5889" width="9.5703125" style="102" customWidth="1"/>
    <col min="5890" max="5890" width="13.28515625" style="102" customWidth="1"/>
    <col min="5891" max="5892" width="13.7109375" style="102" customWidth="1"/>
    <col min="5893" max="5893" width="13.5703125" style="102" customWidth="1"/>
    <col min="5894" max="5895" width="13.85546875" style="102" customWidth="1"/>
    <col min="5896" max="5896" width="16.42578125" style="102" customWidth="1"/>
    <col min="5897" max="5897" width="15.5703125" style="102" customWidth="1"/>
    <col min="5898" max="5898" width="17.85546875" style="102" customWidth="1"/>
    <col min="5899" max="5899" width="16" style="102" customWidth="1"/>
    <col min="5900" max="5901" width="13.28515625" style="102" customWidth="1"/>
    <col min="5902" max="5902" width="10.42578125" style="102" bestFit="1" customWidth="1"/>
    <col min="5903" max="6144" width="8.85546875" style="102"/>
    <col min="6145" max="6145" width="9.5703125" style="102" customWidth="1"/>
    <col min="6146" max="6146" width="13.28515625" style="102" customWidth="1"/>
    <col min="6147" max="6148" width="13.7109375" style="102" customWidth="1"/>
    <col min="6149" max="6149" width="13.5703125" style="102" customWidth="1"/>
    <col min="6150" max="6151" width="13.85546875" style="102" customWidth="1"/>
    <col min="6152" max="6152" width="16.42578125" style="102" customWidth="1"/>
    <col min="6153" max="6153" width="15.5703125" style="102" customWidth="1"/>
    <col min="6154" max="6154" width="17.85546875" style="102" customWidth="1"/>
    <col min="6155" max="6155" width="16" style="102" customWidth="1"/>
    <col min="6156" max="6157" width="13.28515625" style="102" customWidth="1"/>
    <col min="6158" max="6158" width="10.42578125" style="102" bestFit="1" customWidth="1"/>
    <col min="6159" max="6400" width="8.85546875" style="102"/>
    <col min="6401" max="6401" width="9.5703125" style="102" customWidth="1"/>
    <col min="6402" max="6402" width="13.28515625" style="102" customWidth="1"/>
    <col min="6403" max="6404" width="13.7109375" style="102" customWidth="1"/>
    <col min="6405" max="6405" width="13.5703125" style="102" customWidth="1"/>
    <col min="6406" max="6407" width="13.85546875" style="102" customWidth="1"/>
    <col min="6408" max="6408" width="16.42578125" style="102" customWidth="1"/>
    <col min="6409" max="6409" width="15.5703125" style="102" customWidth="1"/>
    <col min="6410" max="6410" width="17.85546875" style="102" customWidth="1"/>
    <col min="6411" max="6411" width="16" style="102" customWidth="1"/>
    <col min="6412" max="6413" width="13.28515625" style="102" customWidth="1"/>
    <col min="6414" max="6414" width="10.42578125" style="102" bestFit="1" customWidth="1"/>
    <col min="6415" max="6656" width="8.85546875" style="102"/>
    <col min="6657" max="6657" width="9.5703125" style="102" customWidth="1"/>
    <col min="6658" max="6658" width="13.28515625" style="102" customWidth="1"/>
    <col min="6659" max="6660" width="13.7109375" style="102" customWidth="1"/>
    <col min="6661" max="6661" width="13.5703125" style="102" customWidth="1"/>
    <col min="6662" max="6663" width="13.85546875" style="102" customWidth="1"/>
    <col min="6664" max="6664" width="16.42578125" style="102" customWidth="1"/>
    <col min="6665" max="6665" width="15.5703125" style="102" customWidth="1"/>
    <col min="6666" max="6666" width="17.85546875" style="102" customWidth="1"/>
    <col min="6667" max="6667" width="16" style="102" customWidth="1"/>
    <col min="6668" max="6669" width="13.28515625" style="102" customWidth="1"/>
    <col min="6670" max="6670" width="10.42578125" style="102" bestFit="1" customWidth="1"/>
    <col min="6671" max="6912" width="8.85546875" style="102"/>
    <col min="6913" max="6913" width="9.5703125" style="102" customWidth="1"/>
    <col min="6914" max="6914" width="13.28515625" style="102" customWidth="1"/>
    <col min="6915" max="6916" width="13.7109375" style="102" customWidth="1"/>
    <col min="6917" max="6917" width="13.5703125" style="102" customWidth="1"/>
    <col min="6918" max="6919" width="13.85546875" style="102" customWidth="1"/>
    <col min="6920" max="6920" width="16.42578125" style="102" customWidth="1"/>
    <col min="6921" max="6921" width="15.5703125" style="102" customWidth="1"/>
    <col min="6922" max="6922" width="17.85546875" style="102" customWidth="1"/>
    <col min="6923" max="6923" width="16" style="102" customWidth="1"/>
    <col min="6924" max="6925" width="13.28515625" style="102" customWidth="1"/>
    <col min="6926" max="6926" width="10.42578125" style="102" bestFit="1" customWidth="1"/>
    <col min="6927" max="7168" width="8.85546875" style="102"/>
    <col min="7169" max="7169" width="9.5703125" style="102" customWidth="1"/>
    <col min="7170" max="7170" width="13.28515625" style="102" customWidth="1"/>
    <col min="7171" max="7172" width="13.7109375" style="102" customWidth="1"/>
    <col min="7173" max="7173" width="13.5703125" style="102" customWidth="1"/>
    <col min="7174" max="7175" width="13.85546875" style="102" customWidth="1"/>
    <col min="7176" max="7176" width="16.42578125" style="102" customWidth="1"/>
    <col min="7177" max="7177" width="15.5703125" style="102" customWidth="1"/>
    <col min="7178" max="7178" width="17.85546875" style="102" customWidth="1"/>
    <col min="7179" max="7179" width="16" style="102" customWidth="1"/>
    <col min="7180" max="7181" width="13.28515625" style="102" customWidth="1"/>
    <col min="7182" max="7182" width="10.42578125" style="102" bestFit="1" customWidth="1"/>
    <col min="7183" max="7424" width="8.85546875" style="102"/>
    <col min="7425" max="7425" width="9.5703125" style="102" customWidth="1"/>
    <col min="7426" max="7426" width="13.28515625" style="102" customWidth="1"/>
    <col min="7427" max="7428" width="13.7109375" style="102" customWidth="1"/>
    <col min="7429" max="7429" width="13.5703125" style="102" customWidth="1"/>
    <col min="7430" max="7431" width="13.85546875" style="102" customWidth="1"/>
    <col min="7432" max="7432" width="16.42578125" style="102" customWidth="1"/>
    <col min="7433" max="7433" width="15.5703125" style="102" customWidth="1"/>
    <col min="7434" max="7434" width="17.85546875" style="102" customWidth="1"/>
    <col min="7435" max="7435" width="16" style="102" customWidth="1"/>
    <col min="7436" max="7437" width="13.28515625" style="102" customWidth="1"/>
    <col min="7438" max="7438" width="10.42578125" style="102" bestFit="1" customWidth="1"/>
    <col min="7439" max="7680" width="8.85546875" style="102"/>
    <col min="7681" max="7681" width="9.5703125" style="102" customWidth="1"/>
    <col min="7682" max="7682" width="13.28515625" style="102" customWidth="1"/>
    <col min="7683" max="7684" width="13.7109375" style="102" customWidth="1"/>
    <col min="7685" max="7685" width="13.5703125" style="102" customWidth="1"/>
    <col min="7686" max="7687" width="13.85546875" style="102" customWidth="1"/>
    <col min="7688" max="7688" width="16.42578125" style="102" customWidth="1"/>
    <col min="7689" max="7689" width="15.5703125" style="102" customWidth="1"/>
    <col min="7690" max="7690" width="17.85546875" style="102" customWidth="1"/>
    <col min="7691" max="7691" width="16" style="102" customWidth="1"/>
    <col min="7692" max="7693" width="13.28515625" style="102" customWidth="1"/>
    <col min="7694" max="7694" width="10.42578125" style="102" bestFit="1" customWidth="1"/>
    <col min="7695" max="7936" width="8.85546875" style="102"/>
    <col min="7937" max="7937" width="9.5703125" style="102" customWidth="1"/>
    <col min="7938" max="7938" width="13.28515625" style="102" customWidth="1"/>
    <col min="7939" max="7940" width="13.7109375" style="102" customWidth="1"/>
    <col min="7941" max="7941" width="13.5703125" style="102" customWidth="1"/>
    <col min="7942" max="7943" width="13.85546875" style="102" customWidth="1"/>
    <col min="7944" max="7944" width="16.42578125" style="102" customWidth="1"/>
    <col min="7945" max="7945" width="15.5703125" style="102" customWidth="1"/>
    <col min="7946" max="7946" width="17.85546875" style="102" customWidth="1"/>
    <col min="7947" max="7947" width="16" style="102" customWidth="1"/>
    <col min="7948" max="7949" width="13.28515625" style="102" customWidth="1"/>
    <col min="7950" max="7950" width="10.42578125" style="102" bestFit="1" customWidth="1"/>
    <col min="7951" max="8192" width="8.85546875" style="102"/>
    <col min="8193" max="8193" width="9.5703125" style="102" customWidth="1"/>
    <col min="8194" max="8194" width="13.28515625" style="102" customWidth="1"/>
    <col min="8195" max="8196" width="13.7109375" style="102" customWidth="1"/>
    <col min="8197" max="8197" width="13.5703125" style="102" customWidth="1"/>
    <col min="8198" max="8199" width="13.85546875" style="102" customWidth="1"/>
    <col min="8200" max="8200" width="16.42578125" style="102" customWidth="1"/>
    <col min="8201" max="8201" width="15.5703125" style="102" customWidth="1"/>
    <col min="8202" max="8202" width="17.85546875" style="102" customWidth="1"/>
    <col min="8203" max="8203" width="16" style="102" customWidth="1"/>
    <col min="8204" max="8205" width="13.28515625" style="102" customWidth="1"/>
    <col min="8206" max="8206" width="10.42578125" style="102" bestFit="1" customWidth="1"/>
    <col min="8207" max="8448" width="8.85546875" style="102"/>
    <col min="8449" max="8449" width="9.5703125" style="102" customWidth="1"/>
    <col min="8450" max="8450" width="13.28515625" style="102" customWidth="1"/>
    <col min="8451" max="8452" width="13.7109375" style="102" customWidth="1"/>
    <col min="8453" max="8453" width="13.5703125" style="102" customWidth="1"/>
    <col min="8454" max="8455" width="13.85546875" style="102" customWidth="1"/>
    <col min="8456" max="8456" width="16.42578125" style="102" customWidth="1"/>
    <col min="8457" max="8457" width="15.5703125" style="102" customWidth="1"/>
    <col min="8458" max="8458" width="17.85546875" style="102" customWidth="1"/>
    <col min="8459" max="8459" width="16" style="102" customWidth="1"/>
    <col min="8460" max="8461" width="13.28515625" style="102" customWidth="1"/>
    <col min="8462" max="8462" width="10.42578125" style="102" bestFit="1" customWidth="1"/>
    <col min="8463" max="8704" width="8.85546875" style="102"/>
    <col min="8705" max="8705" width="9.5703125" style="102" customWidth="1"/>
    <col min="8706" max="8706" width="13.28515625" style="102" customWidth="1"/>
    <col min="8707" max="8708" width="13.7109375" style="102" customWidth="1"/>
    <col min="8709" max="8709" width="13.5703125" style="102" customWidth="1"/>
    <col min="8710" max="8711" width="13.85546875" style="102" customWidth="1"/>
    <col min="8712" max="8712" width="16.42578125" style="102" customWidth="1"/>
    <col min="8713" max="8713" width="15.5703125" style="102" customWidth="1"/>
    <col min="8714" max="8714" width="17.85546875" style="102" customWidth="1"/>
    <col min="8715" max="8715" width="16" style="102" customWidth="1"/>
    <col min="8716" max="8717" width="13.28515625" style="102" customWidth="1"/>
    <col min="8718" max="8718" width="10.42578125" style="102" bestFit="1" customWidth="1"/>
    <col min="8719" max="8960" width="8.85546875" style="102"/>
    <col min="8961" max="8961" width="9.5703125" style="102" customWidth="1"/>
    <col min="8962" max="8962" width="13.28515625" style="102" customWidth="1"/>
    <col min="8963" max="8964" width="13.7109375" style="102" customWidth="1"/>
    <col min="8965" max="8965" width="13.5703125" style="102" customWidth="1"/>
    <col min="8966" max="8967" width="13.85546875" style="102" customWidth="1"/>
    <col min="8968" max="8968" width="16.42578125" style="102" customWidth="1"/>
    <col min="8969" max="8969" width="15.5703125" style="102" customWidth="1"/>
    <col min="8970" max="8970" width="17.85546875" style="102" customWidth="1"/>
    <col min="8971" max="8971" width="16" style="102" customWidth="1"/>
    <col min="8972" max="8973" width="13.28515625" style="102" customWidth="1"/>
    <col min="8974" max="8974" width="10.42578125" style="102" bestFit="1" customWidth="1"/>
    <col min="8975" max="9216" width="8.85546875" style="102"/>
    <col min="9217" max="9217" width="9.5703125" style="102" customWidth="1"/>
    <col min="9218" max="9218" width="13.28515625" style="102" customWidth="1"/>
    <col min="9219" max="9220" width="13.7109375" style="102" customWidth="1"/>
    <col min="9221" max="9221" width="13.5703125" style="102" customWidth="1"/>
    <col min="9222" max="9223" width="13.85546875" style="102" customWidth="1"/>
    <col min="9224" max="9224" width="16.42578125" style="102" customWidth="1"/>
    <col min="9225" max="9225" width="15.5703125" style="102" customWidth="1"/>
    <col min="9226" max="9226" width="17.85546875" style="102" customWidth="1"/>
    <col min="9227" max="9227" width="16" style="102" customWidth="1"/>
    <col min="9228" max="9229" width="13.28515625" style="102" customWidth="1"/>
    <col min="9230" max="9230" width="10.42578125" style="102" bestFit="1" customWidth="1"/>
    <col min="9231" max="9472" width="8.85546875" style="102"/>
    <col min="9473" max="9473" width="9.5703125" style="102" customWidth="1"/>
    <col min="9474" max="9474" width="13.28515625" style="102" customWidth="1"/>
    <col min="9475" max="9476" width="13.7109375" style="102" customWidth="1"/>
    <col min="9477" max="9477" width="13.5703125" style="102" customWidth="1"/>
    <col min="9478" max="9479" width="13.85546875" style="102" customWidth="1"/>
    <col min="9480" max="9480" width="16.42578125" style="102" customWidth="1"/>
    <col min="9481" max="9481" width="15.5703125" style="102" customWidth="1"/>
    <col min="9482" max="9482" width="17.85546875" style="102" customWidth="1"/>
    <col min="9483" max="9483" width="16" style="102" customWidth="1"/>
    <col min="9484" max="9485" width="13.28515625" style="102" customWidth="1"/>
    <col min="9486" max="9486" width="10.42578125" style="102" bestFit="1" customWidth="1"/>
    <col min="9487" max="9728" width="8.85546875" style="102"/>
    <col min="9729" max="9729" width="9.5703125" style="102" customWidth="1"/>
    <col min="9730" max="9730" width="13.28515625" style="102" customWidth="1"/>
    <col min="9731" max="9732" width="13.7109375" style="102" customWidth="1"/>
    <col min="9733" max="9733" width="13.5703125" style="102" customWidth="1"/>
    <col min="9734" max="9735" width="13.85546875" style="102" customWidth="1"/>
    <col min="9736" max="9736" width="16.42578125" style="102" customWidth="1"/>
    <col min="9737" max="9737" width="15.5703125" style="102" customWidth="1"/>
    <col min="9738" max="9738" width="17.85546875" style="102" customWidth="1"/>
    <col min="9739" max="9739" width="16" style="102" customWidth="1"/>
    <col min="9740" max="9741" width="13.28515625" style="102" customWidth="1"/>
    <col min="9742" max="9742" width="10.42578125" style="102" bestFit="1" customWidth="1"/>
    <col min="9743" max="9984" width="8.85546875" style="102"/>
    <col min="9985" max="9985" width="9.5703125" style="102" customWidth="1"/>
    <col min="9986" max="9986" width="13.28515625" style="102" customWidth="1"/>
    <col min="9987" max="9988" width="13.7109375" style="102" customWidth="1"/>
    <col min="9989" max="9989" width="13.5703125" style="102" customWidth="1"/>
    <col min="9990" max="9991" width="13.85546875" style="102" customWidth="1"/>
    <col min="9992" max="9992" width="16.42578125" style="102" customWidth="1"/>
    <col min="9993" max="9993" width="15.5703125" style="102" customWidth="1"/>
    <col min="9994" max="9994" width="17.85546875" style="102" customWidth="1"/>
    <col min="9995" max="9995" width="16" style="102" customWidth="1"/>
    <col min="9996" max="9997" width="13.28515625" style="102" customWidth="1"/>
    <col min="9998" max="9998" width="10.42578125" style="102" bestFit="1" customWidth="1"/>
    <col min="9999" max="10240" width="8.85546875" style="102"/>
    <col min="10241" max="10241" width="9.5703125" style="102" customWidth="1"/>
    <col min="10242" max="10242" width="13.28515625" style="102" customWidth="1"/>
    <col min="10243" max="10244" width="13.7109375" style="102" customWidth="1"/>
    <col min="10245" max="10245" width="13.5703125" style="102" customWidth="1"/>
    <col min="10246" max="10247" width="13.85546875" style="102" customWidth="1"/>
    <col min="10248" max="10248" width="16.42578125" style="102" customWidth="1"/>
    <col min="10249" max="10249" width="15.5703125" style="102" customWidth="1"/>
    <col min="10250" max="10250" width="17.85546875" style="102" customWidth="1"/>
    <col min="10251" max="10251" width="16" style="102" customWidth="1"/>
    <col min="10252" max="10253" width="13.28515625" style="102" customWidth="1"/>
    <col min="10254" max="10254" width="10.42578125" style="102" bestFit="1" customWidth="1"/>
    <col min="10255" max="10496" width="8.85546875" style="102"/>
    <col min="10497" max="10497" width="9.5703125" style="102" customWidth="1"/>
    <col min="10498" max="10498" width="13.28515625" style="102" customWidth="1"/>
    <col min="10499" max="10500" width="13.7109375" style="102" customWidth="1"/>
    <col min="10501" max="10501" width="13.5703125" style="102" customWidth="1"/>
    <col min="10502" max="10503" width="13.85546875" style="102" customWidth="1"/>
    <col min="10504" max="10504" width="16.42578125" style="102" customWidth="1"/>
    <col min="10505" max="10505" width="15.5703125" style="102" customWidth="1"/>
    <col min="10506" max="10506" width="17.85546875" style="102" customWidth="1"/>
    <col min="10507" max="10507" width="16" style="102" customWidth="1"/>
    <col min="10508" max="10509" width="13.28515625" style="102" customWidth="1"/>
    <col min="10510" max="10510" width="10.42578125" style="102" bestFit="1" customWidth="1"/>
    <col min="10511" max="10752" width="8.85546875" style="102"/>
    <col min="10753" max="10753" width="9.5703125" style="102" customWidth="1"/>
    <col min="10754" max="10754" width="13.28515625" style="102" customWidth="1"/>
    <col min="10755" max="10756" width="13.7109375" style="102" customWidth="1"/>
    <col min="10757" max="10757" width="13.5703125" style="102" customWidth="1"/>
    <col min="10758" max="10759" width="13.85546875" style="102" customWidth="1"/>
    <col min="10760" max="10760" width="16.42578125" style="102" customWidth="1"/>
    <col min="10761" max="10761" width="15.5703125" style="102" customWidth="1"/>
    <col min="10762" max="10762" width="17.85546875" style="102" customWidth="1"/>
    <col min="10763" max="10763" width="16" style="102" customWidth="1"/>
    <col min="10764" max="10765" width="13.28515625" style="102" customWidth="1"/>
    <col min="10766" max="10766" width="10.42578125" style="102" bestFit="1" customWidth="1"/>
    <col min="10767" max="11008" width="8.85546875" style="102"/>
    <col min="11009" max="11009" width="9.5703125" style="102" customWidth="1"/>
    <col min="11010" max="11010" width="13.28515625" style="102" customWidth="1"/>
    <col min="11011" max="11012" width="13.7109375" style="102" customWidth="1"/>
    <col min="11013" max="11013" width="13.5703125" style="102" customWidth="1"/>
    <col min="11014" max="11015" width="13.85546875" style="102" customWidth="1"/>
    <col min="11016" max="11016" width="16.42578125" style="102" customWidth="1"/>
    <col min="11017" max="11017" width="15.5703125" style="102" customWidth="1"/>
    <col min="11018" max="11018" width="17.85546875" style="102" customWidth="1"/>
    <col min="11019" max="11019" width="16" style="102" customWidth="1"/>
    <col min="11020" max="11021" width="13.28515625" style="102" customWidth="1"/>
    <col min="11022" max="11022" width="10.42578125" style="102" bestFit="1" customWidth="1"/>
    <col min="11023" max="11264" width="8.85546875" style="102"/>
    <col min="11265" max="11265" width="9.5703125" style="102" customWidth="1"/>
    <col min="11266" max="11266" width="13.28515625" style="102" customWidth="1"/>
    <col min="11267" max="11268" width="13.7109375" style="102" customWidth="1"/>
    <col min="11269" max="11269" width="13.5703125" style="102" customWidth="1"/>
    <col min="11270" max="11271" width="13.85546875" style="102" customWidth="1"/>
    <col min="11272" max="11272" width="16.42578125" style="102" customWidth="1"/>
    <col min="11273" max="11273" width="15.5703125" style="102" customWidth="1"/>
    <col min="11274" max="11274" width="17.85546875" style="102" customWidth="1"/>
    <col min="11275" max="11275" width="16" style="102" customWidth="1"/>
    <col min="11276" max="11277" width="13.28515625" style="102" customWidth="1"/>
    <col min="11278" max="11278" width="10.42578125" style="102" bestFit="1" customWidth="1"/>
    <col min="11279" max="11520" width="8.85546875" style="102"/>
    <col min="11521" max="11521" width="9.5703125" style="102" customWidth="1"/>
    <col min="11522" max="11522" width="13.28515625" style="102" customWidth="1"/>
    <col min="11523" max="11524" width="13.7109375" style="102" customWidth="1"/>
    <col min="11525" max="11525" width="13.5703125" style="102" customWidth="1"/>
    <col min="11526" max="11527" width="13.85546875" style="102" customWidth="1"/>
    <col min="11528" max="11528" width="16.42578125" style="102" customWidth="1"/>
    <col min="11529" max="11529" width="15.5703125" style="102" customWidth="1"/>
    <col min="11530" max="11530" width="17.85546875" style="102" customWidth="1"/>
    <col min="11531" max="11531" width="16" style="102" customWidth="1"/>
    <col min="11532" max="11533" width="13.28515625" style="102" customWidth="1"/>
    <col min="11534" max="11534" width="10.42578125" style="102" bestFit="1" customWidth="1"/>
    <col min="11535" max="11776" width="8.85546875" style="102"/>
    <col min="11777" max="11777" width="9.5703125" style="102" customWidth="1"/>
    <col min="11778" max="11778" width="13.28515625" style="102" customWidth="1"/>
    <col min="11779" max="11780" width="13.7109375" style="102" customWidth="1"/>
    <col min="11781" max="11781" width="13.5703125" style="102" customWidth="1"/>
    <col min="11782" max="11783" width="13.85546875" style="102" customWidth="1"/>
    <col min="11784" max="11784" width="16.42578125" style="102" customWidth="1"/>
    <col min="11785" max="11785" width="15.5703125" style="102" customWidth="1"/>
    <col min="11786" max="11786" width="17.85546875" style="102" customWidth="1"/>
    <col min="11787" max="11787" width="16" style="102" customWidth="1"/>
    <col min="11788" max="11789" width="13.28515625" style="102" customWidth="1"/>
    <col min="11790" max="11790" width="10.42578125" style="102" bestFit="1" customWidth="1"/>
    <col min="11791" max="12032" width="8.85546875" style="102"/>
    <col min="12033" max="12033" width="9.5703125" style="102" customWidth="1"/>
    <col min="12034" max="12034" width="13.28515625" style="102" customWidth="1"/>
    <col min="12035" max="12036" width="13.7109375" style="102" customWidth="1"/>
    <col min="12037" max="12037" width="13.5703125" style="102" customWidth="1"/>
    <col min="12038" max="12039" width="13.85546875" style="102" customWidth="1"/>
    <col min="12040" max="12040" width="16.42578125" style="102" customWidth="1"/>
    <col min="12041" max="12041" width="15.5703125" style="102" customWidth="1"/>
    <col min="12042" max="12042" width="17.85546875" style="102" customWidth="1"/>
    <col min="12043" max="12043" width="16" style="102" customWidth="1"/>
    <col min="12044" max="12045" width="13.28515625" style="102" customWidth="1"/>
    <col min="12046" max="12046" width="10.42578125" style="102" bestFit="1" customWidth="1"/>
    <col min="12047" max="12288" width="8.85546875" style="102"/>
    <col min="12289" max="12289" width="9.5703125" style="102" customWidth="1"/>
    <col min="12290" max="12290" width="13.28515625" style="102" customWidth="1"/>
    <col min="12291" max="12292" width="13.7109375" style="102" customWidth="1"/>
    <col min="12293" max="12293" width="13.5703125" style="102" customWidth="1"/>
    <col min="12294" max="12295" width="13.85546875" style="102" customWidth="1"/>
    <col min="12296" max="12296" width="16.42578125" style="102" customWidth="1"/>
    <col min="12297" max="12297" width="15.5703125" style="102" customWidth="1"/>
    <col min="12298" max="12298" width="17.85546875" style="102" customWidth="1"/>
    <col min="12299" max="12299" width="16" style="102" customWidth="1"/>
    <col min="12300" max="12301" width="13.28515625" style="102" customWidth="1"/>
    <col min="12302" max="12302" width="10.42578125" style="102" bestFit="1" customWidth="1"/>
    <col min="12303" max="12544" width="8.85546875" style="102"/>
    <col min="12545" max="12545" width="9.5703125" style="102" customWidth="1"/>
    <col min="12546" max="12546" width="13.28515625" style="102" customWidth="1"/>
    <col min="12547" max="12548" width="13.7109375" style="102" customWidth="1"/>
    <col min="12549" max="12549" width="13.5703125" style="102" customWidth="1"/>
    <col min="12550" max="12551" width="13.85546875" style="102" customWidth="1"/>
    <col min="12552" max="12552" width="16.42578125" style="102" customWidth="1"/>
    <col min="12553" max="12553" width="15.5703125" style="102" customWidth="1"/>
    <col min="12554" max="12554" width="17.85546875" style="102" customWidth="1"/>
    <col min="12555" max="12555" width="16" style="102" customWidth="1"/>
    <col min="12556" max="12557" width="13.28515625" style="102" customWidth="1"/>
    <col min="12558" max="12558" width="10.42578125" style="102" bestFit="1" customWidth="1"/>
    <col min="12559" max="12800" width="8.85546875" style="102"/>
    <col min="12801" max="12801" width="9.5703125" style="102" customWidth="1"/>
    <col min="12802" max="12802" width="13.28515625" style="102" customWidth="1"/>
    <col min="12803" max="12804" width="13.7109375" style="102" customWidth="1"/>
    <col min="12805" max="12805" width="13.5703125" style="102" customWidth="1"/>
    <col min="12806" max="12807" width="13.85546875" style="102" customWidth="1"/>
    <col min="12808" max="12808" width="16.42578125" style="102" customWidth="1"/>
    <col min="12809" max="12809" width="15.5703125" style="102" customWidth="1"/>
    <col min="12810" max="12810" width="17.85546875" style="102" customWidth="1"/>
    <col min="12811" max="12811" width="16" style="102" customWidth="1"/>
    <col min="12812" max="12813" width="13.28515625" style="102" customWidth="1"/>
    <col min="12814" max="12814" width="10.42578125" style="102" bestFit="1" customWidth="1"/>
    <col min="12815" max="13056" width="8.85546875" style="102"/>
    <col min="13057" max="13057" width="9.5703125" style="102" customWidth="1"/>
    <col min="13058" max="13058" width="13.28515625" style="102" customWidth="1"/>
    <col min="13059" max="13060" width="13.7109375" style="102" customWidth="1"/>
    <col min="13061" max="13061" width="13.5703125" style="102" customWidth="1"/>
    <col min="13062" max="13063" width="13.85546875" style="102" customWidth="1"/>
    <col min="13064" max="13064" width="16.42578125" style="102" customWidth="1"/>
    <col min="13065" max="13065" width="15.5703125" style="102" customWidth="1"/>
    <col min="13066" max="13066" width="17.85546875" style="102" customWidth="1"/>
    <col min="13067" max="13067" width="16" style="102" customWidth="1"/>
    <col min="13068" max="13069" width="13.28515625" style="102" customWidth="1"/>
    <col min="13070" max="13070" width="10.42578125" style="102" bestFit="1" customWidth="1"/>
    <col min="13071" max="13312" width="8.85546875" style="102"/>
    <col min="13313" max="13313" width="9.5703125" style="102" customWidth="1"/>
    <col min="13314" max="13314" width="13.28515625" style="102" customWidth="1"/>
    <col min="13315" max="13316" width="13.7109375" style="102" customWidth="1"/>
    <col min="13317" max="13317" width="13.5703125" style="102" customWidth="1"/>
    <col min="13318" max="13319" width="13.85546875" style="102" customWidth="1"/>
    <col min="13320" max="13320" width="16.42578125" style="102" customWidth="1"/>
    <col min="13321" max="13321" width="15.5703125" style="102" customWidth="1"/>
    <col min="13322" max="13322" width="17.85546875" style="102" customWidth="1"/>
    <col min="13323" max="13323" width="16" style="102" customWidth="1"/>
    <col min="13324" max="13325" width="13.28515625" style="102" customWidth="1"/>
    <col min="13326" max="13326" width="10.42578125" style="102" bestFit="1" customWidth="1"/>
    <col min="13327" max="13568" width="8.85546875" style="102"/>
    <col min="13569" max="13569" width="9.5703125" style="102" customWidth="1"/>
    <col min="13570" max="13570" width="13.28515625" style="102" customWidth="1"/>
    <col min="13571" max="13572" width="13.7109375" style="102" customWidth="1"/>
    <col min="13573" max="13573" width="13.5703125" style="102" customWidth="1"/>
    <col min="13574" max="13575" width="13.85546875" style="102" customWidth="1"/>
    <col min="13576" max="13576" width="16.42578125" style="102" customWidth="1"/>
    <col min="13577" max="13577" width="15.5703125" style="102" customWidth="1"/>
    <col min="13578" max="13578" width="17.85546875" style="102" customWidth="1"/>
    <col min="13579" max="13579" width="16" style="102" customWidth="1"/>
    <col min="13580" max="13581" width="13.28515625" style="102" customWidth="1"/>
    <col min="13582" max="13582" width="10.42578125" style="102" bestFit="1" customWidth="1"/>
    <col min="13583" max="13824" width="8.85546875" style="102"/>
    <col min="13825" max="13825" width="9.5703125" style="102" customWidth="1"/>
    <col min="13826" max="13826" width="13.28515625" style="102" customWidth="1"/>
    <col min="13827" max="13828" width="13.7109375" style="102" customWidth="1"/>
    <col min="13829" max="13829" width="13.5703125" style="102" customWidth="1"/>
    <col min="13830" max="13831" width="13.85546875" style="102" customWidth="1"/>
    <col min="13832" max="13832" width="16.42578125" style="102" customWidth="1"/>
    <col min="13833" max="13833" width="15.5703125" style="102" customWidth="1"/>
    <col min="13834" max="13834" width="17.85546875" style="102" customWidth="1"/>
    <col min="13835" max="13835" width="16" style="102" customWidth="1"/>
    <col min="13836" max="13837" width="13.28515625" style="102" customWidth="1"/>
    <col min="13838" max="13838" width="10.42578125" style="102" bestFit="1" customWidth="1"/>
    <col min="13839" max="14080" width="8.85546875" style="102"/>
    <col min="14081" max="14081" width="9.5703125" style="102" customWidth="1"/>
    <col min="14082" max="14082" width="13.28515625" style="102" customWidth="1"/>
    <col min="14083" max="14084" width="13.7109375" style="102" customWidth="1"/>
    <col min="14085" max="14085" width="13.5703125" style="102" customWidth="1"/>
    <col min="14086" max="14087" width="13.85546875" style="102" customWidth="1"/>
    <col min="14088" max="14088" width="16.42578125" style="102" customWidth="1"/>
    <col min="14089" max="14089" width="15.5703125" style="102" customWidth="1"/>
    <col min="14090" max="14090" width="17.85546875" style="102" customWidth="1"/>
    <col min="14091" max="14091" width="16" style="102" customWidth="1"/>
    <col min="14092" max="14093" width="13.28515625" style="102" customWidth="1"/>
    <col min="14094" max="14094" width="10.42578125" style="102" bestFit="1" customWidth="1"/>
    <col min="14095" max="14336" width="8.85546875" style="102"/>
    <col min="14337" max="14337" width="9.5703125" style="102" customWidth="1"/>
    <col min="14338" max="14338" width="13.28515625" style="102" customWidth="1"/>
    <col min="14339" max="14340" width="13.7109375" style="102" customWidth="1"/>
    <col min="14341" max="14341" width="13.5703125" style="102" customWidth="1"/>
    <col min="14342" max="14343" width="13.85546875" style="102" customWidth="1"/>
    <col min="14344" max="14344" width="16.42578125" style="102" customWidth="1"/>
    <col min="14345" max="14345" width="15.5703125" style="102" customWidth="1"/>
    <col min="14346" max="14346" width="17.85546875" style="102" customWidth="1"/>
    <col min="14347" max="14347" width="16" style="102" customWidth="1"/>
    <col min="14348" max="14349" width="13.28515625" style="102" customWidth="1"/>
    <col min="14350" max="14350" width="10.42578125" style="102" bestFit="1" customWidth="1"/>
    <col min="14351" max="14592" width="8.85546875" style="102"/>
    <col min="14593" max="14593" width="9.5703125" style="102" customWidth="1"/>
    <col min="14594" max="14594" width="13.28515625" style="102" customWidth="1"/>
    <col min="14595" max="14596" width="13.7109375" style="102" customWidth="1"/>
    <col min="14597" max="14597" width="13.5703125" style="102" customWidth="1"/>
    <col min="14598" max="14599" width="13.85546875" style="102" customWidth="1"/>
    <col min="14600" max="14600" width="16.42578125" style="102" customWidth="1"/>
    <col min="14601" max="14601" width="15.5703125" style="102" customWidth="1"/>
    <col min="14602" max="14602" width="17.85546875" style="102" customWidth="1"/>
    <col min="14603" max="14603" width="16" style="102" customWidth="1"/>
    <col min="14604" max="14605" width="13.28515625" style="102" customWidth="1"/>
    <col min="14606" max="14606" width="10.42578125" style="102" bestFit="1" customWidth="1"/>
    <col min="14607" max="14848" width="8.85546875" style="102"/>
    <col min="14849" max="14849" width="9.5703125" style="102" customWidth="1"/>
    <col min="14850" max="14850" width="13.28515625" style="102" customWidth="1"/>
    <col min="14851" max="14852" width="13.7109375" style="102" customWidth="1"/>
    <col min="14853" max="14853" width="13.5703125" style="102" customWidth="1"/>
    <col min="14854" max="14855" width="13.85546875" style="102" customWidth="1"/>
    <col min="14856" max="14856" width="16.42578125" style="102" customWidth="1"/>
    <col min="14857" max="14857" width="15.5703125" style="102" customWidth="1"/>
    <col min="14858" max="14858" width="17.85546875" style="102" customWidth="1"/>
    <col min="14859" max="14859" width="16" style="102" customWidth="1"/>
    <col min="14860" max="14861" width="13.28515625" style="102" customWidth="1"/>
    <col min="14862" max="14862" width="10.42578125" style="102" bestFit="1" customWidth="1"/>
    <col min="14863" max="15104" width="8.85546875" style="102"/>
    <col min="15105" max="15105" width="9.5703125" style="102" customWidth="1"/>
    <col min="15106" max="15106" width="13.28515625" style="102" customWidth="1"/>
    <col min="15107" max="15108" width="13.7109375" style="102" customWidth="1"/>
    <col min="15109" max="15109" width="13.5703125" style="102" customWidth="1"/>
    <col min="15110" max="15111" width="13.85546875" style="102" customWidth="1"/>
    <col min="15112" max="15112" width="16.42578125" style="102" customWidth="1"/>
    <col min="15113" max="15113" width="15.5703125" style="102" customWidth="1"/>
    <col min="15114" max="15114" width="17.85546875" style="102" customWidth="1"/>
    <col min="15115" max="15115" width="16" style="102" customWidth="1"/>
    <col min="15116" max="15117" width="13.28515625" style="102" customWidth="1"/>
    <col min="15118" max="15118" width="10.42578125" style="102" bestFit="1" customWidth="1"/>
    <col min="15119" max="15360" width="8.85546875" style="102"/>
    <col min="15361" max="15361" width="9.5703125" style="102" customWidth="1"/>
    <col min="15362" max="15362" width="13.28515625" style="102" customWidth="1"/>
    <col min="15363" max="15364" width="13.7109375" style="102" customWidth="1"/>
    <col min="15365" max="15365" width="13.5703125" style="102" customWidth="1"/>
    <col min="15366" max="15367" width="13.85546875" style="102" customWidth="1"/>
    <col min="15368" max="15368" width="16.42578125" style="102" customWidth="1"/>
    <col min="15369" max="15369" width="15.5703125" style="102" customWidth="1"/>
    <col min="15370" max="15370" width="17.85546875" style="102" customWidth="1"/>
    <col min="15371" max="15371" width="16" style="102" customWidth="1"/>
    <col min="15372" max="15373" width="13.28515625" style="102" customWidth="1"/>
    <col min="15374" max="15374" width="10.42578125" style="102" bestFit="1" customWidth="1"/>
    <col min="15375" max="15616" width="8.85546875" style="102"/>
    <col min="15617" max="15617" width="9.5703125" style="102" customWidth="1"/>
    <col min="15618" max="15618" width="13.28515625" style="102" customWidth="1"/>
    <col min="15619" max="15620" width="13.7109375" style="102" customWidth="1"/>
    <col min="15621" max="15621" width="13.5703125" style="102" customWidth="1"/>
    <col min="15622" max="15623" width="13.85546875" style="102" customWidth="1"/>
    <col min="15624" max="15624" width="16.42578125" style="102" customWidth="1"/>
    <col min="15625" max="15625" width="15.5703125" style="102" customWidth="1"/>
    <col min="15626" max="15626" width="17.85546875" style="102" customWidth="1"/>
    <col min="15627" max="15627" width="16" style="102" customWidth="1"/>
    <col min="15628" max="15629" width="13.28515625" style="102" customWidth="1"/>
    <col min="15630" max="15630" width="10.42578125" style="102" bestFit="1" customWidth="1"/>
    <col min="15631" max="15872" width="8.85546875" style="102"/>
    <col min="15873" max="15873" width="9.5703125" style="102" customWidth="1"/>
    <col min="15874" max="15874" width="13.28515625" style="102" customWidth="1"/>
    <col min="15875" max="15876" width="13.7109375" style="102" customWidth="1"/>
    <col min="15877" max="15877" width="13.5703125" style="102" customWidth="1"/>
    <col min="15878" max="15879" width="13.85546875" style="102" customWidth="1"/>
    <col min="15880" max="15880" width="16.42578125" style="102" customWidth="1"/>
    <col min="15881" max="15881" width="15.5703125" style="102" customWidth="1"/>
    <col min="15882" max="15882" width="17.85546875" style="102" customWidth="1"/>
    <col min="15883" max="15883" width="16" style="102" customWidth="1"/>
    <col min="15884" max="15885" width="13.28515625" style="102" customWidth="1"/>
    <col min="15886" max="15886" width="10.42578125" style="102" bestFit="1" customWidth="1"/>
    <col min="15887" max="16128" width="8.85546875" style="102"/>
    <col min="16129" max="16129" width="9.5703125" style="102" customWidth="1"/>
    <col min="16130" max="16130" width="13.28515625" style="102" customWidth="1"/>
    <col min="16131" max="16132" width="13.7109375" style="102" customWidth="1"/>
    <col min="16133" max="16133" width="13.5703125" style="102" customWidth="1"/>
    <col min="16134" max="16135" width="13.85546875" style="102" customWidth="1"/>
    <col min="16136" max="16136" width="16.42578125" style="102" customWidth="1"/>
    <col min="16137" max="16137" width="15.5703125" style="102" customWidth="1"/>
    <col min="16138" max="16138" width="17.85546875" style="102" customWidth="1"/>
    <col min="16139" max="16139" width="16" style="102" customWidth="1"/>
    <col min="16140" max="16141" width="13.28515625" style="102" customWidth="1"/>
    <col min="16142" max="16142" width="10.42578125" style="102" bestFit="1" customWidth="1"/>
    <col min="16143" max="16384" width="8.85546875" style="102"/>
  </cols>
  <sheetData>
    <row r="1" spans="1:13" ht="18.600000000000001" customHeight="1" thickBot="1" x14ac:dyDescent="0.3">
      <c r="A1" s="300" t="s">
        <v>129</v>
      </c>
      <c r="B1" s="301"/>
      <c r="C1" s="301"/>
      <c r="D1" s="301"/>
      <c r="E1" s="301"/>
      <c r="F1" s="301"/>
      <c r="G1" s="301"/>
      <c r="H1" s="301"/>
      <c r="I1" s="301"/>
      <c r="J1" s="302"/>
      <c r="K1" s="100"/>
      <c r="L1" s="100"/>
      <c r="M1" s="101"/>
    </row>
    <row r="2" spans="1:13" ht="16.899999999999999" customHeight="1" thickBot="1" x14ac:dyDescent="0.3">
      <c r="A2" s="303" t="s">
        <v>233</v>
      </c>
      <c r="B2" s="304"/>
      <c r="C2" s="304"/>
      <c r="D2" s="304"/>
      <c r="E2" s="304"/>
      <c r="F2" s="304"/>
      <c r="G2" s="304"/>
      <c r="H2" s="304"/>
      <c r="I2" s="304"/>
      <c r="J2" s="305"/>
      <c r="K2" s="100"/>
      <c r="L2" s="100"/>
      <c r="M2" s="101"/>
    </row>
    <row r="3" spans="1:13" s="103" customFormat="1" ht="15.6" customHeight="1" thickBot="1" x14ac:dyDescent="0.3">
      <c r="A3" s="300" t="str">
        <f>'[1]Linha 01'!A3:H3</f>
        <v>Serviço de Transporte Escolar - Tucunduva/RS</v>
      </c>
      <c r="B3" s="301"/>
      <c r="C3" s="301"/>
      <c r="D3" s="301"/>
      <c r="E3" s="301"/>
      <c r="F3" s="301"/>
      <c r="G3" s="301"/>
      <c r="H3" s="301"/>
      <c r="I3" s="301"/>
      <c r="J3" s="302"/>
      <c r="K3" s="100"/>
    </row>
    <row r="4" spans="1:13" s="103" customFormat="1" ht="17.45" customHeight="1" thickBot="1" x14ac:dyDescent="0.25">
      <c r="A4" s="306" t="s">
        <v>9</v>
      </c>
      <c r="B4" s="307"/>
      <c r="C4" s="307"/>
      <c r="D4" s="307"/>
      <c r="E4" s="307"/>
      <c r="F4" s="307"/>
      <c r="G4" s="307"/>
      <c r="H4" s="307"/>
      <c r="I4" s="307"/>
      <c r="J4" s="308"/>
      <c r="K4" s="104"/>
    </row>
    <row r="5" spans="1:13" s="103" customFormat="1" ht="15.75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1"/>
      <c r="K5" s="101"/>
    </row>
    <row r="6" spans="1:13" s="103" customFormat="1" ht="15.75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1"/>
      <c r="K6" s="101"/>
    </row>
    <row r="7" spans="1:13" s="103" customFormat="1" ht="15.75" x14ac:dyDescent="0.25">
      <c r="A7" s="106" t="s">
        <v>234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3" ht="15.75" x14ac:dyDescent="0.25">
      <c r="A8" s="107" t="s">
        <v>235</v>
      </c>
      <c r="B8" s="108" t="s">
        <v>236</v>
      </c>
      <c r="C8" s="108" t="s">
        <v>237</v>
      </c>
      <c r="D8" s="108" t="s">
        <v>238</v>
      </c>
      <c r="E8" s="108" t="s">
        <v>239</v>
      </c>
      <c r="F8" s="108" t="s">
        <v>240</v>
      </c>
      <c r="G8" s="108" t="s">
        <v>241</v>
      </c>
      <c r="H8" s="108" t="s">
        <v>242</v>
      </c>
      <c r="I8" s="108" t="s">
        <v>243</v>
      </c>
      <c r="J8" s="108" t="s">
        <v>244</v>
      </c>
      <c r="K8" s="109"/>
    </row>
    <row r="9" spans="1:13" ht="15.75" x14ac:dyDescent="0.25">
      <c r="A9" s="265">
        <v>1</v>
      </c>
      <c r="B9" s="265">
        <f>'Linha 1'!B8</f>
        <v>29</v>
      </c>
      <c r="C9" s="266">
        <f>'[1]Linha 01'!G10</f>
        <v>98.27788000000001</v>
      </c>
      <c r="D9" s="265">
        <v>20</v>
      </c>
      <c r="E9" s="266">
        <f>C9*D9</f>
        <v>1965.5576000000001</v>
      </c>
      <c r="F9" s="266">
        <f>'Linha 1'!F68</f>
        <v>7885.8447847422021</v>
      </c>
      <c r="G9" s="266">
        <f>F9/E9</f>
        <v>4.0120140894076073</v>
      </c>
      <c r="H9" s="266">
        <f>C9*201*G9</f>
        <v>79252.740086659134</v>
      </c>
      <c r="I9" s="267">
        <f>H9/$H$13</f>
        <v>0.41425301930446834</v>
      </c>
      <c r="J9" s="266">
        <f>H9/B9</f>
        <v>2732.853106436522</v>
      </c>
      <c r="K9" s="109"/>
    </row>
    <row r="10" spans="1:13" ht="15.75" x14ac:dyDescent="0.25">
      <c r="A10" s="265">
        <v>2</v>
      </c>
      <c r="B10" s="265">
        <f>'Linha 2'!B8</f>
        <v>26</v>
      </c>
      <c r="C10" s="266">
        <f>'Linha 2'!B10</f>
        <v>64.056820000000016</v>
      </c>
      <c r="D10" s="265">
        <v>20</v>
      </c>
      <c r="E10" s="266">
        <f>C10*D10</f>
        <v>1281.1364000000003</v>
      </c>
      <c r="F10" s="266">
        <f>'Linha 2'!H54</f>
        <v>5248.7970583320757</v>
      </c>
      <c r="G10" s="266">
        <f>F10/E10</f>
        <v>4.0969853470185331</v>
      </c>
      <c r="H10" s="266">
        <f>C10*201*G10</f>
        <v>52750.410436237362</v>
      </c>
      <c r="I10" s="267">
        <f>H10/$H$13</f>
        <v>0.27572569439071903</v>
      </c>
      <c r="J10" s="266">
        <f>H10/B10</f>
        <v>2028.8619398552833</v>
      </c>
      <c r="K10" s="109"/>
    </row>
    <row r="11" spans="1:13" ht="15.75" x14ac:dyDescent="0.25">
      <c r="A11" s="265">
        <v>3</v>
      </c>
      <c r="B11" s="265">
        <f>'Linha 3'!B8</f>
        <v>22</v>
      </c>
      <c r="C11" s="266">
        <f>'Linha 3'!G10</f>
        <v>78.562839999999994</v>
      </c>
      <c r="D11" s="265">
        <v>20</v>
      </c>
      <c r="E11" s="266">
        <f>C11*D11</f>
        <v>1571.2567999999999</v>
      </c>
      <c r="F11" s="266">
        <f>'Linha 3'!H54</f>
        <v>5901.6582374478894</v>
      </c>
      <c r="G11" s="266">
        <f>F11/E11</f>
        <v>3.7560112627343218</v>
      </c>
      <c r="H11" s="266">
        <f t="shared" ref="H11" si="0">C11*201*G11</f>
        <v>59311.665286351286</v>
      </c>
      <c r="I11" s="267">
        <f>H11/$H$13</f>
        <v>0.31002128630481252</v>
      </c>
      <c r="J11" s="266">
        <f t="shared" ref="J11" si="1">H11/B11</f>
        <v>2695.9847857432401</v>
      </c>
      <c r="K11" s="109"/>
    </row>
    <row r="12" spans="1:13" ht="8.4499999999999993" customHeight="1" x14ac:dyDescent="0.25">
      <c r="A12" s="265"/>
      <c r="B12" s="265"/>
      <c r="C12" s="266"/>
      <c r="D12" s="265"/>
      <c r="E12" s="266"/>
      <c r="F12" s="266"/>
      <c r="G12" s="266"/>
      <c r="H12" s="266"/>
      <c r="I12" s="267"/>
      <c r="J12" s="266"/>
      <c r="K12" s="109"/>
    </row>
    <row r="13" spans="1:13" ht="15.75" x14ac:dyDescent="0.25">
      <c r="A13" s="265" t="s">
        <v>245</v>
      </c>
      <c r="B13" s="265">
        <f>SUM(B9:B11)</f>
        <v>77</v>
      </c>
      <c r="C13" s="266">
        <f>SUM(C9:C11)</f>
        <v>240.89754000000002</v>
      </c>
      <c r="D13" s="265">
        <v>20</v>
      </c>
      <c r="E13" s="266">
        <f>C13*D13</f>
        <v>4817.9508000000005</v>
      </c>
      <c r="F13" s="266">
        <f>SUM(F9:F11)</f>
        <v>19036.300080522167</v>
      </c>
      <c r="G13" s="266">
        <f>F13/E13</f>
        <v>3.9511196503962154</v>
      </c>
      <c r="H13" s="266">
        <f>C13*201*G13</f>
        <v>191314.81580924781</v>
      </c>
      <c r="I13" s="267">
        <f>H13/$H$13</f>
        <v>1</v>
      </c>
      <c r="J13" s="266">
        <f>H13/B13</f>
        <v>2484.607997522699</v>
      </c>
      <c r="K13" s="109"/>
    </row>
    <row r="14" spans="1:13" ht="15.75" x14ac:dyDescent="0.25">
      <c r="A14" s="268"/>
      <c r="B14" s="269"/>
      <c r="C14" s="270"/>
      <c r="D14" s="270"/>
      <c r="E14" s="270"/>
      <c r="F14" s="271"/>
      <c r="G14" s="271"/>
      <c r="H14" s="271"/>
      <c r="I14" s="266"/>
      <c r="J14" s="271"/>
      <c r="K14" s="109"/>
    </row>
    <row r="15" spans="1:13" ht="16.5" x14ac:dyDescent="0.25">
      <c r="A15" s="264"/>
    </row>
    <row r="16" spans="1:13" ht="18" x14ac:dyDescent="0.25">
      <c r="A16" s="262" t="s">
        <v>283</v>
      </c>
    </row>
    <row r="17" spans="1:5" ht="18" x14ac:dyDescent="0.25">
      <c r="A17" s="262"/>
      <c r="E17" s="102" t="s">
        <v>28</v>
      </c>
    </row>
    <row r="18" spans="1:5" ht="18" x14ac:dyDescent="0.25">
      <c r="A18" s="262"/>
    </row>
    <row r="19" spans="1:5" ht="18" x14ac:dyDescent="0.25">
      <c r="A19" s="262" t="s">
        <v>232</v>
      </c>
    </row>
  </sheetData>
  <mergeCells count="4">
    <mergeCell ref="A1:J1"/>
    <mergeCell ref="A2:J2"/>
    <mergeCell ref="A3:J3"/>
    <mergeCell ref="A4:J4"/>
  </mergeCells>
  <pageMargins left="0.78740157480314965" right="0.19685039370078741" top="0.59055118110236227" bottom="0.59055118110236227" header="0.51181102362204722" footer="0.31496062992125984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5"/>
  <sheetViews>
    <sheetView workbookViewId="0">
      <selection sqref="A1:H1"/>
    </sheetView>
  </sheetViews>
  <sheetFormatPr defaultRowHeight="12.75" x14ac:dyDescent="0.2"/>
  <cols>
    <col min="1" max="1" width="39.28515625" customWidth="1"/>
    <col min="2" max="2" width="12.85546875" customWidth="1"/>
    <col min="4" max="4" width="21.5703125" customWidth="1"/>
    <col min="5" max="5" width="17.7109375" bestFit="1" customWidth="1"/>
    <col min="6" max="6" width="19" bestFit="1" customWidth="1"/>
    <col min="7" max="8" width="14.7109375" bestFit="1" customWidth="1"/>
    <col min="9" max="9" width="9.7109375" bestFit="1" customWidth="1"/>
  </cols>
  <sheetData>
    <row r="1" spans="1:9" ht="16.5" thickBot="1" x14ac:dyDescent="0.3">
      <c r="A1" s="320" t="s">
        <v>289</v>
      </c>
      <c r="B1" s="321"/>
      <c r="C1" s="321"/>
      <c r="D1" s="321"/>
      <c r="E1" s="321"/>
      <c r="F1" s="321"/>
      <c r="G1" s="321"/>
      <c r="H1" s="322"/>
      <c r="I1" s="100"/>
    </row>
    <row r="2" spans="1:9" ht="16.5" thickBot="1" x14ac:dyDescent="0.3">
      <c r="A2" s="323" t="s">
        <v>130</v>
      </c>
      <c r="B2" s="324"/>
      <c r="C2" s="324"/>
      <c r="D2" s="324"/>
      <c r="E2" s="324"/>
      <c r="F2" s="324"/>
      <c r="G2" s="324"/>
      <c r="H2" s="325"/>
      <c r="I2" s="100"/>
    </row>
    <row r="3" spans="1:9" ht="16.5" thickBot="1" x14ac:dyDescent="0.3">
      <c r="A3" s="320" t="s">
        <v>131</v>
      </c>
      <c r="B3" s="321"/>
      <c r="C3" s="321"/>
      <c r="D3" s="321"/>
      <c r="E3" s="321"/>
      <c r="F3" s="321"/>
      <c r="G3" s="321"/>
      <c r="H3" s="322"/>
      <c r="I3" s="100"/>
    </row>
    <row r="4" spans="1:9" ht="15.75" thickBot="1" x14ac:dyDescent="0.25">
      <c r="A4" s="326" t="s">
        <v>9</v>
      </c>
      <c r="B4" s="327"/>
      <c r="C4" s="327"/>
      <c r="D4" s="327"/>
      <c r="E4" s="327"/>
      <c r="F4" s="327"/>
      <c r="G4" s="327"/>
      <c r="H4" s="328"/>
      <c r="I4" s="104"/>
    </row>
    <row r="5" spans="1:9" ht="15.75" x14ac:dyDescent="0.25">
      <c r="A5" s="105"/>
      <c r="B5" s="105"/>
      <c r="C5" s="105"/>
      <c r="D5" s="105"/>
      <c r="E5" s="105"/>
      <c r="F5" s="105"/>
      <c r="G5" s="105"/>
      <c r="H5" s="101"/>
      <c r="I5" s="101"/>
    </row>
    <row r="6" spans="1:9" ht="15.75" x14ac:dyDescent="0.25">
      <c r="A6" s="106" t="s">
        <v>132</v>
      </c>
      <c r="B6" s="101"/>
      <c r="C6" s="101"/>
      <c r="D6" s="101"/>
      <c r="E6" s="101"/>
      <c r="F6" s="101"/>
      <c r="G6" s="101"/>
      <c r="H6" s="101"/>
      <c r="I6" s="101"/>
    </row>
    <row r="7" spans="1:9" ht="15.75" x14ac:dyDescent="0.25">
      <c r="A7" s="107" t="s">
        <v>133</v>
      </c>
      <c r="B7" s="108" t="s">
        <v>134</v>
      </c>
      <c r="C7" s="108"/>
      <c r="D7" s="108"/>
      <c r="E7" s="108"/>
      <c r="F7" s="108"/>
      <c r="G7" s="108" t="s">
        <v>135</v>
      </c>
      <c r="H7" s="109"/>
      <c r="I7" s="109"/>
    </row>
    <row r="8" spans="1:9" ht="15.75" x14ac:dyDescent="0.25">
      <c r="A8" s="107" t="s">
        <v>136</v>
      </c>
      <c r="B8" s="110">
        <v>29</v>
      </c>
      <c r="C8" s="110"/>
      <c r="D8" s="110"/>
      <c r="E8" s="110"/>
      <c r="F8" s="110"/>
      <c r="G8" s="111">
        <f>SUM(B8:F8)</f>
        <v>29</v>
      </c>
      <c r="H8" s="109"/>
      <c r="I8" s="109"/>
    </row>
    <row r="9" spans="1:9" ht="15.75" x14ac:dyDescent="0.25">
      <c r="A9" s="107" t="s">
        <v>137</v>
      </c>
      <c r="B9" s="112"/>
      <c r="C9" s="112"/>
      <c r="D9" s="112"/>
      <c r="E9" s="112"/>
      <c r="F9" s="112"/>
      <c r="G9" s="113">
        <v>0</v>
      </c>
      <c r="H9" s="109"/>
      <c r="I9" s="109"/>
    </row>
    <row r="10" spans="1:9" ht="15.75" x14ac:dyDescent="0.25">
      <c r="A10" s="107" t="s">
        <v>138</v>
      </c>
      <c r="B10" s="114">
        <f>Roteiros!D14</f>
        <v>98.27788000000001</v>
      </c>
      <c r="C10" s="114"/>
      <c r="D10" s="114"/>
      <c r="E10" s="114"/>
      <c r="F10" s="114"/>
      <c r="G10" s="115">
        <f>SUM(B10:F10)</f>
        <v>98.27788000000001</v>
      </c>
      <c r="H10" s="109"/>
      <c r="I10" s="109"/>
    </row>
    <row r="11" spans="1:9" ht="15.75" x14ac:dyDescent="0.25">
      <c r="A11" s="310" t="s">
        <v>139</v>
      </c>
      <c r="B11" s="311"/>
      <c r="C11" s="311"/>
      <c r="D11" s="311"/>
      <c r="E11" s="311"/>
      <c r="F11" s="312"/>
      <c r="G11" s="116">
        <f>G10+G9</f>
        <v>98.27788000000001</v>
      </c>
      <c r="H11" s="109"/>
      <c r="I11" s="109"/>
    </row>
    <row r="12" spans="1:9" ht="15.75" x14ac:dyDescent="0.25">
      <c r="A12" s="117" t="s">
        <v>140</v>
      </c>
      <c r="B12" s="118" t="s">
        <v>141</v>
      </c>
      <c r="C12" s="118"/>
      <c r="D12" s="118"/>
      <c r="E12" s="119"/>
      <c r="F12" s="119"/>
      <c r="G12" s="120" t="s">
        <v>142</v>
      </c>
      <c r="H12" s="109"/>
      <c r="I12" s="109"/>
    </row>
    <row r="13" spans="1:9" ht="15.75" x14ac:dyDescent="0.25">
      <c r="A13" s="117" t="s">
        <v>143</v>
      </c>
      <c r="B13" s="118">
        <f>49/60+2</f>
        <v>2.8166666666666664</v>
      </c>
      <c r="C13" s="118"/>
      <c r="D13" s="118"/>
      <c r="E13" s="121"/>
      <c r="F13" s="121"/>
      <c r="G13" s="115">
        <f>SUM(B13:F13)</f>
        <v>2.8166666666666664</v>
      </c>
      <c r="H13" s="122"/>
      <c r="I13" s="109"/>
    </row>
    <row r="14" spans="1:9" ht="15.75" x14ac:dyDescent="0.25">
      <c r="A14" s="310" t="s">
        <v>144</v>
      </c>
      <c r="B14" s="311"/>
      <c r="C14" s="311"/>
      <c r="D14" s="311"/>
      <c r="E14" s="311"/>
      <c r="F14" s="312"/>
      <c r="G14" s="115">
        <v>3</v>
      </c>
      <c r="H14" s="123"/>
      <c r="I14" s="123"/>
    </row>
    <row r="15" spans="1:9" ht="15.75" x14ac:dyDescent="0.25">
      <c r="A15" s="310" t="s">
        <v>145</v>
      </c>
      <c r="B15" s="311"/>
      <c r="C15" s="311"/>
      <c r="D15" s="311"/>
      <c r="E15" s="311"/>
      <c r="F15" s="312"/>
      <c r="G15" s="116">
        <f>(G14+G13)</f>
        <v>5.8166666666666664</v>
      </c>
      <c r="H15" s="123"/>
      <c r="I15" s="123"/>
    </row>
    <row r="16" spans="1:9" ht="15.75" x14ac:dyDescent="0.25">
      <c r="A16" s="310" t="s">
        <v>146</v>
      </c>
      <c r="B16" s="311"/>
      <c r="C16" s="311"/>
      <c r="D16" s="311"/>
      <c r="E16" s="311"/>
      <c r="F16" s="312"/>
      <c r="G16" s="124">
        <f>B36/12/(G8/2)</f>
        <v>7.6149425287356323</v>
      </c>
      <c r="H16" s="109"/>
      <c r="I16" s="109"/>
    </row>
    <row r="17" spans="1:9" ht="15.75" x14ac:dyDescent="0.25">
      <c r="A17" s="120" t="s">
        <v>147</v>
      </c>
      <c r="B17" s="329" t="s">
        <v>148</v>
      </c>
      <c r="C17" s="330"/>
      <c r="D17" s="330"/>
      <c r="E17" s="330"/>
      <c r="F17" s="330"/>
      <c r="G17" s="331"/>
      <c r="H17" s="109"/>
      <c r="I17" s="109"/>
    </row>
    <row r="18" spans="1:9" ht="15.75" x14ac:dyDescent="0.25">
      <c r="A18" s="332" t="s">
        <v>149</v>
      </c>
      <c r="B18" s="333"/>
      <c r="C18" s="333"/>
      <c r="D18" s="333"/>
      <c r="E18" s="333"/>
      <c r="F18" s="334"/>
      <c r="G18" s="125">
        <v>266750</v>
      </c>
      <c r="H18" s="109"/>
      <c r="I18" s="109"/>
    </row>
    <row r="19" spans="1:9" ht="15.75" x14ac:dyDescent="0.25">
      <c r="A19" s="310" t="s">
        <v>150</v>
      </c>
      <c r="B19" s="311"/>
      <c r="C19" s="311"/>
      <c r="D19" s="311"/>
      <c r="E19" s="311"/>
      <c r="F19" s="312"/>
      <c r="G19" s="115">
        <v>3.67</v>
      </c>
      <c r="H19" s="109"/>
      <c r="I19" s="109"/>
    </row>
    <row r="20" spans="1:9" ht="15.75" x14ac:dyDescent="0.25">
      <c r="A20" s="310" t="s">
        <v>151</v>
      </c>
      <c r="B20" s="311"/>
      <c r="C20" s="311"/>
      <c r="D20" s="311"/>
      <c r="E20" s="311"/>
      <c r="F20" s="312"/>
      <c r="G20" s="115">
        <v>4</v>
      </c>
      <c r="H20" s="109"/>
      <c r="I20" s="109"/>
    </row>
    <row r="21" spans="1:9" ht="15.75" x14ac:dyDescent="0.25">
      <c r="A21" s="310" t="s">
        <v>152</v>
      </c>
      <c r="B21" s="311"/>
      <c r="C21" s="311"/>
      <c r="D21" s="311"/>
      <c r="E21" s="311"/>
      <c r="F21" s="312"/>
      <c r="G21" s="115">
        <v>0.6</v>
      </c>
      <c r="H21" s="109"/>
      <c r="I21" s="109"/>
    </row>
    <row r="22" spans="1:9" ht="15.75" x14ac:dyDescent="0.25">
      <c r="A22" s="310" t="s">
        <v>153</v>
      </c>
      <c r="B22" s="311"/>
      <c r="C22" s="311"/>
      <c r="D22" s="311"/>
      <c r="E22" s="311"/>
      <c r="F22" s="312"/>
      <c r="G22" s="126">
        <v>20</v>
      </c>
      <c r="H22" s="109"/>
      <c r="I22" s="109"/>
    </row>
    <row r="23" spans="1:9" ht="15" x14ac:dyDescent="0.2">
      <c r="A23" s="109"/>
      <c r="B23" s="109"/>
      <c r="C23" s="109"/>
      <c r="D23" s="109"/>
      <c r="E23" s="109"/>
      <c r="F23" s="109"/>
      <c r="G23" s="109"/>
      <c r="H23" s="109"/>
      <c r="I23" s="109"/>
    </row>
    <row r="24" spans="1:9" ht="15.75" x14ac:dyDescent="0.25">
      <c r="A24" s="127" t="s">
        <v>154</v>
      </c>
      <c r="B24" s="128" t="s">
        <v>128</v>
      </c>
      <c r="C24" s="101"/>
      <c r="D24" s="100"/>
      <c r="E24" s="100"/>
      <c r="F24" s="100"/>
      <c r="G24" s="100"/>
      <c r="H24" s="100"/>
      <c r="I24" s="109"/>
    </row>
    <row r="25" spans="1:9" ht="15.75" x14ac:dyDescent="0.25">
      <c r="A25" s="120" t="s">
        <v>155</v>
      </c>
      <c r="B25" s="129">
        <f>(G22*G11*G19)/G20</f>
        <v>1803.3990980000001</v>
      </c>
      <c r="C25" s="130"/>
      <c r="D25" s="131"/>
      <c r="E25" s="132"/>
      <c r="F25" s="132"/>
      <c r="G25" s="132"/>
      <c r="H25" s="133"/>
      <c r="I25" s="109"/>
    </row>
    <row r="26" spans="1:9" ht="15.75" x14ac:dyDescent="0.25">
      <c r="A26" s="120" t="s">
        <v>156</v>
      </c>
      <c r="B26" s="129">
        <f>G21*B25</f>
        <v>1082.0394587999999</v>
      </c>
      <c r="C26" s="130"/>
      <c r="D26" s="131"/>
      <c r="E26" s="132"/>
      <c r="F26" s="132"/>
      <c r="G26" s="132"/>
      <c r="H26" s="133"/>
      <c r="I26" s="109"/>
    </row>
    <row r="27" spans="1:9" ht="15" x14ac:dyDescent="0.2">
      <c r="A27" s="134"/>
      <c r="B27" s="134"/>
      <c r="C27" s="131"/>
      <c r="D27" s="131"/>
      <c r="E27" s="132"/>
      <c r="F27" s="132"/>
      <c r="G27" s="132"/>
      <c r="H27" s="133"/>
      <c r="I27" s="109"/>
    </row>
    <row r="28" spans="1:9" ht="15.75" x14ac:dyDescent="0.25">
      <c r="A28" s="108" t="s">
        <v>157</v>
      </c>
      <c r="B28" s="135">
        <f>SUM(B25:B26)</f>
        <v>2885.4385567999998</v>
      </c>
      <c r="C28" s="136"/>
      <c r="D28" s="131"/>
      <c r="E28" s="109"/>
      <c r="F28" s="109"/>
      <c r="G28" s="109"/>
      <c r="H28" s="109"/>
      <c r="I28" s="109"/>
    </row>
    <row r="29" spans="1:9" ht="15.75" x14ac:dyDescent="0.25">
      <c r="A29" s="137"/>
      <c r="B29" s="138"/>
      <c r="C29" s="138"/>
      <c r="D29" s="109"/>
      <c r="E29" s="109"/>
      <c r="F29" s="109"/>
      <c r="G29" s="109"/>
      <c r="H29" s="109"/>
      <c r="I29" s="109"/>
    </row>
    <row r="30" spans="1:9" ht="15.75" x14ac:dyDescent="0.25">
      <c r="A30" s="313" t="s">
        <v>158</v>
      </c>
      <c r="B30" s="314"/>
      <c r="C30" s="314"/>
      <c r="D30" s="314"/>
      <c r="E30" s="314"/>
      <c r="F30" s="314"/>
      <c r="G30" s="314"/>
      <c r="H30" s="314"/>
      <c r="I30" s="100"/>
    </row>
    <row r="31" spans="1:9" ht="15.75" x14ac:dyDescent="0.25">
      <c r="A31" s="139" t="s">
        <v>159</v>
      </c>
      <c r="B31" s="140">
        <f>(G18-H42)*0.05</f>
        <v>3903.8862500000005</v>
      </c>
      <c r="C31" s="141"/>
      <c r="D31" s="142" t="s">
        <v>160</v>
      </c>
      <c r="E31" s="142" t="s">
        <v>161</v>
      </c>
      <c r="F31" s="142" t="s">
        <v>162</v>
      </c>
      <c r="G31" s="142" t="s">
        <v>163</v>
      </c>
      <c r="H31" s="142" t="s">
        <v>135</v>
      </c>
      <c r="I31" s="102"/>
    </row>
    <row r="32" spans="1:9" ht="15.75" x14ac:dyDescent="0.25">
      <c r="A32" s="134" t="s">
        <v>164</v>
      </c>
      <c r="B32" s="143">
        <v>164.82</v>
      </c>
      <c r="C32" s="141"/>
      <c r="D32" s="113">
        <v>1799.53</v>
      </c>
      <c r="E32" s="144">
        <f>'Encargos Sociais'!C38</f>
        <v>0.38321660000000002</v>
      </c>
      <c r="F32" s="145">
        <f>(D32*E32)+D32</f>
        <v>2489.1397681979997</v>
      </c>
      <c r="G32" s="146">
        <v>11.2</v>
      </c>
      <c r="H32" s="116">
        <f>F32*G32</f>
        <v>27878.365403817596</v>
      </c>
      <c r="I32" s="102"/>
    </row>
    <row r="33" spans="1:9" ht="15.75" x14ac:dyDescent="0.25">
      <c r="A33" s="134" t="s">
        <v>165</v>
      </c>
      <c r="B33" s="143">
        <v>100</v>
      </c>
      <c r="C33" s="141"/>
      <c r="D33" s="108" t="s">
        <v>166</v>
      </c>
      <c r="E33" s="108" t="s">
        <v>167</v>
      </c>
      <c r="F33" s="108" t="s">
        <v>162</v>
      </c>
      <c r="G33" s="108" t="s">
        <v>163</v>
      </c>
      <c r="H33" s="108" t="s">
        <v>135</v>
      </c>
      <c r="I33" s="102"/>
    </row>
    <row r="34" spans="1:9" ht="15.75" x14ac:dyDescent="0.25">
      <c r="A34" s="134" t="s">
        <v>168</v>
      </c>
      <c r="B34" s="143">
        <v>700</v>
      </c>
      <c r="C34" s="141"/>
      <c r="D34" s="147">
        <v>17.739999999999998</v>
      </c>
      <c r="E34" s="148">
        <f>G22</f>
        <v>20</v>
      </c>
      <c r="F34" s="149">
        <f>D34*E34</f>
        <v>354.79999999999995</v>
      </c>
      <c r="G34" s="150">
        <v>10</v>
      </c>
      <c r="H34" s="116">
        <f>F34*G34</f>
        <v>3547.9999999999995</v>
      </c>
      <c r="I34" s="102"/>
    </row>
    <row r="35" spans="1:9" ht="15.75" x14ac:dyDescent="0.25">
      <c r="A35" s="134" t="s">
        <v>169</v>
      </c>
      <c r="B35" s="143">
        <f>H43</f>
        <v>12578.151666666668</v>
      </c>
      <c r="C35" s="141"/>
      <c r="D35" s="151" t="s">
        <v>170</v>
      </c>
      <c r="E35" s="148"/>
      <c r="F35" s="152"/>
      <c r="G35" s="150"/>
      <c r="H35" s="116">
        <f>H32+H34</f>
        <v>31426.365403817596</v>
      </c>
      <c r="I35" s="102"/>
    </row>
    <row r="36" spans="1:9" ht="15.75" thickBot="1" x14ac:dyDescent="0.25">
      <c r="A36" s="134" t="s">
        <v>171</v>
      </c>
      <c r="B36" s="143">
        <v>1325</v>
      </c>
      <c r="C36" s="141"/>
      <c r="D36" s="109"/>
      <c r="E36" s="102"/>
      <c r="F36" s="102"/>
      <c r="G36" s="102"/>
      <c r="H36" s="102"/>
      <c r="I36" s="102"/>
    </row>
    <row r="37" spans="1:9" ht="16.5" thickBot="1" x14ac:dyDescent="0.25">
      <c r="A37" s="134" t="s">
        <v>172</v>
      </c>
      <c r="B37" s="153">
        <v>1</v>
      </c>
      <c r="C37" s="154"/>
      <c r="D37" s="155" t="s">
        <v>173</v>
      </c>
      <c r="E37" s="156"/>
      <c r="F37" s="156"/>
      <c r="G37" s="109"/>
      <c r="H37" s="109"/>
      <c r="I37" s="102"/>
    </row>
    <row r="38" spans="1:9" ht="15.75" thickBot="1" x14ac:dyDescent="0.25">
      <c r="A38" s="134" t="s">
        <v>174</v>
      </c>
      <c r="B38" s="147">
        <f>H35*B37</f>
        <v>31426.365403817596</v>
      </c>
      <c r="C38" s="138"/>
      <c r="D38" s="157" t="s">
        <v>10</v>
      </c>
      <c r="E38" s="158" t="s">
        <v>11</v>
      </c>
      <c r="F38" s="158" t="s">
        <v>6</v>
      </c>
      <c r="G38" s="159" t="s">
        <v>93</v>
      </c>
      <c r="H38" s="159" t="s">
        <v>12</v>
      </c>
      <c r="I38" s="102"/>
    </row>
    <row r="39" spans="1:9" ht="15.75" x14ac:dyDescent="0.25">
      <c r="A39" s="120" t="s">
        <v>175</v>
      </c>
      <c r="B39" s="135">
        <f>SUM(B31:B36)+B38</f>
        <v>50198.223320484263</v>
      </c>
      <c r="C39" s="136"/>
      <c r="D39" s="160" t="s">
        <v>176</v>
      </c>
      <c r="E39" s="161" t="s">
        <v>2</v>
      </c>
      <c r="F39" s="162">
        <v>1</v>
      </c>
      <c r="G39" s="163">
        <f>G18</f>
        <v>266750</v>
      </c>
      <c r="H39" s="164">
        <f>F39*G39</f>
        <v>266750</v>
      </c>
      <c r="I39" s="102"/>
    </row>
    <row r="40" spans="1:9" ht="15.75" x14ac:dyDescent="0.25">
      <c r="A40" s="120" t="s">
        <v>177</v>
      </c>
      <c r="B40" s="135">
        <f>B39/10*B41</f>
        <v>3318.0265035698881</v>
      </c>
      <c r="C40" s="136"/>
      <c r="D40" s="165" t="s">
        <v>26</v>
      </c>
      <c r="E40" s="166" t="s">
        <v>27</v>
      </c>
      <c r="F40" s="167">
        <v>15</v>
      </c>
      <c r="G40" s="168"/>
      <c r="H40" s="169"/>
      <c r="I40" s="102"/>
    </row>
    <row r="41" spans="1:9" ht="15.75" x14ac:dyDescent="0.25">
      <c r="A41" s="170" t="s">
        <v>178</v>
      </c>
      <c r="B41" s="171">
        <f>(G15*5)/44</f>
        <v>0.66098484848484851</v>
      </c>
      <c r="C41" s="172"/>
      <c r="D41" s="165" t="s">
        <v>87</v>
      </c>
      <c r="E41" s="166" t="s">
        <v>27</v>
      </c>
      <c r="F41" s="173">
        <v>15</v>
      </c>
      <c r="G41" s="169"/>
      <c r="H41" s="169"/>
      <c r="I41" s="102"/>
    </row>
    <row r="42" spans="1:9" ht="15" x14ac:dyDescent="0.2">
      <c r="A42" s="102"/>
      <c r="B42" s="102"/>
      <c r="C42" s="102"/>
      <c r="D42" s="165" t="s">
        <v>179</v>
      </c>
      <c r="E42" s="166" t="s">
        <v>0</v>
      </c>
      <c r="F42" s="174">
        <f>[1]Depreciação!B17</f>
        <v>70.73</v>
      </c>
      <c r="G42" s="169">
        <f>H39</f>
        <v>266750</v>
      </c>
      <c r="H42" s="169">
        <f>F42*G42/100</f>
        <v>188672.27499999999</v>
      </c>
      <c r="I42" s="102"/>
    </row>
    <row r="43" spans="1:9" ht="16.5" thickBot="1" x14ac:dyDescent="0.25">
      <c r="A43" s="132"/>
      <c r="B43" s="132"/>
      <c r="C43" s="132"/>
      <c r="D43" s="175" t="s">
        <v>180</v>
      </c>
      <c r="E43" s="176" t="s">
        <v>1</v>
      </c>
      <c r="F43" s="177">
        <f>F40*12</f>
        <v>180</v>
      </c>
      <c r="G43" s="178">
        <f>IF(F41&lt;=F40,H42,0)</f>
        <v>188672.27499999999</v>
      </c>
      <c r="H43" s="178">
        <f>IFERROR(G43/F43,0)*12</f>
        <v>12578.151666666668</v>
      </c>
      <c r="I43" s="102"/>
    </row>
    <row r="44" spans="1:9" ht="15.75" thickTop="1" x14ac:dyDescent="0.2">
      <c r="A44" s="131"/>
      <c r="B44" s="138"/>
      <c r="C44" s="138"/>
      <c r="D44" s="109"/>
      <c r="E44" s="109"/>
      <c r="F44" s="102"/>
      <c r="G44" s="102"/>
      <c r="H44" s="102"/>
      <c r="I44" s="102"/>
    </row>
    <row r="45" spans="1:9" ht="15.75" x14ac:dyDescent="0.25">
      <c r="A45" s="313" t="s">
        <v>181</v>
      </c>
      <c r="B45" s="314"/>
      <c r="C45" s="314"/>
      <c r="D45" s="314"/>
      <c r="E45" s="314"/>
      <c r="F45" s="314"/>
      <c r="G45" s="315"/>
      <c r="H45" s="179">
        <f>($B$40+$B$28)</f>
        <v>6203.4650603698883</v>
      </c>
      <c r="I45" s="102"/>
    </row>
    <row r="46" spans="1:9" x14ac:dyDescent="0.2">
      <c r="A46" s="180"/>
      <c r="B46" s="180"/>
      <c r="C46" s="180"/>
      <c r="D46" s="180"/>
      <c r="E46" s="180"/>
      <c r="F46" s="181"/>
      <c r="G46" s="181"/>
      <c r="H46" s="181"/>
      <c r="I46" s="102"/>
    </row>
    <row r="47" spans="1:9" ht="16.5" thickBot="1" x14ac:dyDescent="0.3">
      <c r="A47" s="313" t="s">
        <v>182</v>
      </c>
      <c r="B47" s="314"/>
      <c r="C47" s="314"/>
      <c r="D47" s="314"/>
      <c r="E47" s="314"/>
      <c r="F47" s="314"/>
      <c r="G47" s="315"/>
      <c r="H47" s="181"/>
      <c r="I47" s="102"/>
    </row>
    <row r="48" spans="1:9" ht="16.5" thickBot="1" x14ac:dyDescent="0.25">
      <c r="A48" s="182" t="s">
        <v>10</v>
      </c>
      <c r="B48" s="183" t="s">
        <v>11</v>
      </c>
      <c r="C48" s="183"/>
      <c r="D48" s="183" t="s">
        <v>6</v>
      </c>
      <c r="E48" s="184" t="s">
        <v>93</v>
      </c>
      <c r="F48" s="184" t="s">
        <v>12</v>
      </c>
      <c r="G48" s="185" t="s">
        <v>183</v>
      </c>
      <c r="H48" s="102"/>
      <c r="I48" s="186"/>
    </row>
    <row r="49" spans="1:9" ht="16.5" thickBot="1" x14ac:dyDescent="0.25">
      <c r="A49" s="187" t="s">
        <v>4</v>
      </c>
      <c r="B49" s="188" t="s">
        <v>0</v>
      </c>
      <c r="C49" s="188"/>
      <c r="D49" s="189">
        <f>BDI!C21</f>
        <v>0.2712</v>
      </c>
      <c r="E49" s="164">
        <f>H45</f>
        <v>6203.4650603698883</v>
      </c>
      <c r="F49" s="164">
        <f>D49*E49/1</f>
        <v>1682.3797243723136</v>
      </c>
      <c r="G49" s="190"/>
      <c r="H49" s="109"/>
      <c r="I49" s="102"/>
    </row>
    <row r="50" spans="1:9" ht="16.5" thickBot="1" x14ac:dyDescent="0.25">
      <c r="A50" s="191" t="s">
        <v>184</v>
      </c>
      <c r="B50" s="192"/>
      <c r="C50" s="192"/>
      <c r="D50" s="191"/>
      <c r="E50" s="193"/>
      <c r="F50" s="194"/>
      <c r="G50" s="195">
        <f>+F49</f>
        <v>1682.3797243723136</v>
      </c>
      <c r="H50" s="109"/>
      <c r="I50" s="186"/>
    </row>
    <row r="51" spans="1:9" ht="15.75" thickBot="1" x14ac:dyDescent="0.25">
      <c r="A51" s="180"/>
      <c r="B51" s="180"/>
      <c r="C51" s="180"/>
      <c r="D51" s="196"/>
      <c r="E51" s="196"/>
      <c r="F51" s="190"/>
      <c r="G51" s="190"/>
      <c r="H51" s="190"/>
      <c r="I51" s="102"/>
    </row>
    <row r="52" spans="1:9" ht="16.5" thickBot="1" x14ac:dyDescent="0.25">
      <c r="A52" s="197" t="s">
        <v>185</v>
      </c>
      <c r="B52" s="198"/>
      <c r="C52" s="198"/>
      <c r="D52" s="199"/>
      <c r="E52" s="199"/>
      <c r="F52" s="200"/>
      <c r="G52" s="201"/>
      <c r="H52" s="202">
        <f>G50</f>
        <v>1682.3797243723136</v>
      </c>
      <c r="I52" s="102"/>
    </row>
    <row r="53" spans="1:9" ht="13.5" thickBot="1" x14ac:dyDescent="0.25">
      <c r="A53" s="180"/>
      <c r="B53" s="180"/>
      <c r="C53" s="180"/>
      <c r="D53" s="180"/>
      <c r="E53" s="180"/>
      <c r="F53" s="181"/>
      <c r="G53" s="181"/>
      <c r="H53" s="181"/>
      <c r="I53" s="102"/>
    </row>
    <row r="54" spans="1:9" ht="16.5" thickBot="1" x14ac:dyDescent="0.25">
      <c r="A54" s="197" t="s">
        <v>186</v>
      </c>
      <c r="B54" s="198"/>
      <c r="C54" s="198"/>
      <c r="D54" s="198"/>
      <c r="E54" s="198"/>
      <c r="F54" s="203"/>
      <c r="G54" s="204"/>
      <c r="H54" s="205">
        <f>H45+H52</f>
        <v>7885.8447847422021</v>
      </c>
      <c r="I54" s="102"/>
    </row>
    <row r="55" spans="1:9" ht="15.75" thickBot="1" x14ac:dyDescent="0.25">
      <c r="A55" s="131"/>
      <c r="B55" s="138"/>
      <c r="C55" s="138"/>
      <c r="D55" s="109"/>
      <c r="E55" s="109"/>
      <c r="F55" s="102"/>
      <c r="G55" s="102"/>
      <c r="H55" s="109"/>
      <c r="I55" s="102"/>
    </row>
    <row r="56" spans="1:9" ht="16.5" thickBot="1" x14ac:dyDescent="0.3">
      <c r="A56" s="206" t="s">
        <v>187</v>
      </c>
      <c r="B56" s="207"/>
      <c r="C56" s="207"/>
      <c r="D56" s="207"/>
      <c r="E56" s="207"/>
      <c r="F56" s="207"/>
      <c r="G56" s="207"/>
      <c r="H56" s="208">
        <f>H54/(G11*G22)</f>
        <v>4.0120140894076073</v>
      </c>
      <c r="I56" s="102"/>
    </row>
    <row r="57" spans="1:9" ht="15.75" thickBot="1" x14ac:dyDescent="0.25">
      <c r="A57" s="109"/>
      <c r="B57" s="109"/>
      <c r="C57" s="109"/>
      <c r="D57" s="109"/>
      <c r="E57" s="109"/>
      <c r="F57" s="109"/>
      <c r="G57" s="109"/>
      <c r="H57" s="109"/>
      <c r="I57" s="109"/>
    </row>
    <row r="58" spans="1:9" ht="18" x14ac:dyDescent="0.2">
      <c r="A58" s="316" t="s">
        <v>83</v>
      </c>
      <c r="B58" s="317"/>
      <c r="C58" s="317"/>
      <c r="D58" s="317"/>
      <c r="E58" s="317"/>
      <c r="F58" s="318"/>
      <c r="G58" s="319"/>
      <c r="H58" s="109"/>
      <c r="I58" s="109"/>
    </row>
    <row r="59" spans="1:9" ht="18" x14ac:dyDescent="0.2">
      <c r="A59" s="209" t="s">
        <v>82</v>
      </c>
      <c r="B59" s="210"/>
      <c r="C59" s="210"/>
      <c r="D59" s="210"/>
      <c r="E59" s="211"/>
      <c r="F59" s="212" t="s">
        <v>5</v>
      </c>
      <c r="G59" s="213" t="s">
        <v>0</v>
      </c>
      <c r="H59" s="109"/>
      <c r="I59" s="109"/>
    </row>
    <row r="60" spans="1:9" ht="18" x14ac:dyDescent="0.2">
      <c r="A60" s="214" t="str">
        <f>A24</f>
        <v>1- CUSTO VARIÁVEL</v>
      </c>
      <c r="B60" s="215"/>
      <c r="C60" s="215"/>
      <c r="D60" s="216"/>
      <c r="E60" s="217"/>
      <c r="F60" s="211">
        <f>SUM(F61:F62)</f>
        <v>2885.4385567999998</v>
      </c>
      <c r="G60" s="218">
        <f t="shared" ref="G60:G66" si="0">F60/$F$68</f>
        <v>0.36590100814345766</v>
      </c>
      <c r="H60" s="109"/>
      <c r="I60" s="109"/>
    </row>
    <row r="61" spans="1:9" ht="18" x14ac:dyDescent="0.2">
      <c r="A61" s="219" t="str">
        <f>A25</f>
        <v>1.1 COMBUSTÍVEL</v>
      </c>
      <c r="B61" s="220"/>
      <c r="C61" s="220"/>
      <c r="D61" s="210"/>
      <c r="E61" s="221"/>
      <c r="F61" s="221">
        <f>B25</f>
        <v>1803.3990980000001</v>
      </c>
      <c r="G61" s="222">
        <f t="shared" si="0"/>
        <v>0.22868813008966107</v>
      </c>
      <c r="H61" s="109"/>
      <c r="I61" s="109"/>
    </row>
    <row r="62" spans="1:9" ht="18" x14ac:dyDescent="0.2">
      <c r="A62" s="223" t="str">
        <f>A26</f>
        <v>1.2 MANUTENÇÃO</v>
      </c>
      <c r="B62" s="224"/>
      <c r="C62" s="224"/>
      <c r="D62" s="225"/>
      <c r="E62" s="226"/>
      <c r="F62" s="227">
        <f>B26</f>
        <v>1082.0394587999999</v>
      </c>
      <c r="G62" s="222">
        <f t="shared" si="0"/>
        <v>0.13721287805379664</v>
      </c>
      <c r="H62" s="109"/>
      <c r="I62" s="109"/>
    </row>
    <row r="63" spans="1:9" ht="18" x14ac:dyDescent="0.2">
      <c r="A63" s="228" t="str">
        <f>A30</f>
        <v xml:space="preserve">2 - TOTAL CUSTO FIXO MENSAL </v>
      </c>
      <c r="B63" s="224"/>
      <c r="C63" s="224"/>
      <c r="D63" s="225"/>
      <c r="E63" s="226"/>
      <c r="F63" s="211">
        <f>SUM(F64)</f>
        <v>3318.0265035698881</v>
      </c>
      <c r="G63" s="218">
        <f t="shared" si="0"/>
        <v>0.42075726750160203</v>
      </c>
      <c r="H63" s="109"/>
      <c r="I63" s="109"/>
    </row>
    <row r="64" spans="1:9" ht="18" x14ac:dyDescent="0.2">
      <c r="A64" s="223" t="str">
        <f>A40</f>
        <v>2.1 TOTAL CUSTO FIXO MENSAL</v>
      </c>
      <c r="B64" s="224"/>
      <c r="C64" s="224"/>
      <c r="D64" s="225"/>
      <c r="E64" s="226"/>
      <c r="F64" s="221">
        <f>B40</f>
        <v>3318.0265035698881</v>
      </c>
      <c r="G64" s="222">
        <f>F64/$F$68</f>
        <v>0.42075726750160203</v>
      </c>
      <c r="H64" s="109"/>
      <c r="I64" s="109"/>
    </row>
    <row r="65" spans="1:9" ht="18" x14ac:dyDescent="0.2">
      <c r="A65" s="229" t="str">
        <f>A45</f>
        <v>3- CUSTO TOTAL MENSAL COM DESPESAS OPERACIONAIS</v>
      </c>
      <c r="B65" s="230"/>
      <c r="C65" s="230"/>
      <c r="D65" s="230"/>
      <c r="E65" s="231"/>
      <c r="F65" s="211">
        <f>F60+F63</f>
        <v>6203.4650603698883</v>
      </c>
      <c r="G65" s="218">
        <f t="shared" si="0"/>
        <v>0.78665827564505975</v>
      </c>
      <c r="H65" s="109"/>
      <c r="I65" s="109"/>
    </row>
    <row r="66" spans="1:9" ht="18" x14ac:dyDescent="0.2">
      <c r="A66" s="232" t="str">
        <f>A47</f>
        <v xml:space="preserve">4- BENEFÍCIOS E DESPESAS INDIRETAS </v>
      </c>
      <c r="B66" s="233"/>
      <c r="C66" s="233"/>
      <c r="D66" s="230"/>
      <c r="E66" s="211"/>
      <c r="F66" s="211">
        <f>H52</f>
        <v>1682.3797243723136</v>
      </c>
      <c r="G66" s="218">
        <f t="shared" si="0"/>
        <v>0.2133417243549402</v>
      </c>
      <c r="H66" s="109"/>
      <c r="I66" s="109"/>
    </row>
    <row r="67" spans="1:9" ht="18.75" thickBot="1" x14ac:dyDescent="0.25">
      <c r="A67" s="234"/>
      <c r="B67" s="235"/>
      <c r="C67" s="235"/>
      <c r="D67" s="236"/>
      <c r="E67" s="237"/>
      <c r="F67" s="238"/>
      <c r="G67" s="239"/>
      <c r="H67" s="109"/>
      <c r="I67" s="109"/>
    </row>
    <row r="68" spans="1:9" ht="18.75" thickBot="1" x14ac:dyDescent="0.25">
      <c r="A68" s="240" t="str">
        <f>A54</f>
        <v xml:space="preserve">5- PREÇO MENSAL TOTAL COM O TRANSPORTE ESCOLAR </v>
      </c>
      <c r="B68" s="241"/>
      <c r="C68" s="241"/>
      <c r="D68" s="242"/>
      <c r="E68" s="242"/>
      <c r="F68" s="242">
        <f>F65+F66</f>
        <v>7885.8447847422021</v>
      </c>
      <c r="G68" s="243">
        <f>G65+G66</f>
        <v>1</v>
      </c>
      <c r="H68" s="109"/>
      <c r="I68" s="109"/>
    </row>
    <row r="69" spans="1:9" ht="18" x14ac:dyDescent="0.25">
      <c r="A69" s="244"/>
      <c r="B69" s="245"/>
      <c r="C69" s="245"/>
      <c r="D69" s="245"/>
      <c r="E69" s="245"/>
      <c r="F69" s="245"/>
      <c r="G69" s="246"/>
      <c r="H69" s="109"/>
      <c r="I69" s="109"/>
    </row>
    <row r="70" spans="1:9" ht="18" x14ac:dyDescent="0.25">
      <c r="A70" s="247" t="s">
        <v>188</v>
      </c>
      <c r="B70" s="248"/>
      <c r="C70" s="248"/>
      <c r="D70" s="248"/>
      <c r="E70" s="248"/>
      <c r="F70" s="248"/>
      <c r="G70" s="249">
        <f>G11</f>
        <v>98.27788000000001</v>
      </c>
      <c r="H70" s="109"/>
      <c r="I70" s="109"/>
    </row>
    <row r="71" spans="1:9" ht="18" x14ac:dyDescent="0.25">
      <c r="A71" s="247" t="s">
        <v>189</v>
      </c>
      <c r="B71" s="248"/>
      <c r="C71" s="248"/>
      <c r="D71" s="248"/>
      <c r="E71" s="248"/>
      <c r="F71" s="248"/>
      <c r="G71" s="250">
        <f>G22</f>
        <v>20</v>
      </c>
      <c r="H71" s="109"/>
      <c r="I71" s="109"/>
    </row>
    <row r="72" spans="1:9" ht="18" x14ac:dyDescent="0.25">
      <c r="A72" s="247" t="s">
        <v>190</v>
      </c>
      <c r="B72" s="248"/>
      <c r="C72" s="248"/>
      <c r="D72" s="248"/>
      <c r="E72" s="248"/>
      <c r="F72" s="248"/>
      <c r="G72" s="249">
        <f>G70*G71</f>
        <v>1965.5576000000001</v>
      </c>
      <c r="H72" s="109"/>
      <c r="I72" s="109"/>
    </row>
    <row r="73" spans="1:9" ht="18.75" thickBot="1" x14ac:dyDescent="0.3">
      <c r="A73" s="251" t="s">
        <v>191</v>
      </c>
      <c r="B73" s="252"/>
      <c r="C73" s="252"/>
      <c r="D73" s="252"/>
      <c r="E73" s="252"/>
      <c r="F73" s="252"/>
      <c r="G73" s="253">
        <f>F68/G72</f>
        <v>4.0120140894076073</v>
      </c>
      <c r="H73" s="109"/>
      <c r="I73" s="109"/>
    </row>
    <row r="74" spans="1:9" ht="15" x14ac:dyDescent="0.2">
      <c r="A74" s="109"/>
      <c r="B74" s="109"/>
      <c r="C74" s="109"/>
      <c r="D74" s="109"/>
      <c r="E74" s="109"/>
      <c r="F74" s="109"/>
      <c r="G74" s="109"/>
      <c r="H74" s="109"/>
      <c r="I74" s="109"/>
    </row>
    <row r="75" spans="1:9" ht="18" x14ac:dyDescent="0.25">
      <c r="A75" s="254" t="s">
        <v>259</v>
      </c>
      <c r="B75" s="109"/>
      <c r="C75" s="109"/>
      <c r="D75" s="109"/>
      <c r="E75" s="109"/>
      <c r="F75" s="109"/>
      <c r="G75" s="109"/>
      <c r="H75" s="109"/>
      <c r="I75" s="109"/>
    </row>
    <row r="76" spans="1:9" ht="15.75" x14ac:dyDescent="0.25">
      <c r="A76" s="255" t="s">
        <v>260</v>
      </c>
      <c r="B76" s="109"/>
      <c r="C76" s="109"/>
      <c r="D76" s="109"/>
      <c r="E76" s="109"/>
      <c r="F76" s="109"/>
      <c r="G76" s="109"/>
      <c r="H76" s="109"/>
      <c r="I76" s="109"/>
    </row>
    <row r="77" spans="1:9" ht="15.75" x14ac:dyDescent="0.25">
      <c r="A77" s="255"/>
      <c r="B77" s="109"/>
      <c r="C77" s="109"/>
      <c r="D77" s="109"/>
      <c r="E77" s="109"/>
      <c r="F77" s="109"/>
      <c r="G77" s="109"/>
      <c r="H77" s="109"/>
      <c r="I77" s="109"/>
    </row>
    <row r="78" spans="1:9" ht="15.75" x14ac:dyDescent="0.25">
      <c r="A78" s="255" t="s">
        <v>192</v>
      </c>
      <c r="B78" s="256">
        <f>G11</f>
        <v>98.27788000000001</v>
      </c>
      <c r="C78" s="256"/>
      <c r="D78" s="257" t="s">
        <v>193</v>
      </c>
      <c r="E78" s="109"/>
      <c r="F78" s="109"/>
      <c r="G78" s="109"/>
      <c r="H78" s="109"/>
      <c r="I78" s="109"/>
    </row>
    <row r="79" spans="1:9" ht="15.75" x14ac:dyDescent="0.25">
      <c r="A79" s="255" t="s">
        <v>278</v>
      </c>
      <c r="B79" s="257"/>
      <c r="C79" s="257"/>
      <c r="D79" s="257"/>
      <c r="E79" s="109"/>
      <c r="F79" s="109"/>
      <c r="G79" s="109"/>
      <c r="H79" s="109"/>
      <c r="I79" s="109"/>
    </row>
    <row r="80" spans="1:9" ht="15.75" x14ac:dyDescent="0.25">
      <c r="A80" s="255" t="s">
        <v>194</v>
      </c>
      <c r="B80" s="258"/>
      <c r="C80" s="258"/>
      <c r="D80" s="259">
        <f>H56</f>
        <v>4.0120140894076073</v>
      </c>
      <c r="E80" s="260"/>
      <c r="F80" s="309"/>
      <c r="G80" s="309"/>
      <c r="H80" s="309"/>
      <c r="I80" s="109"/>
    </row>
    <row r="81" spans="1:9" ht="12" customHeight="1" x14ac:dyDescent="0.25">
      <c r="A81" s="255"/>
      <c r="B81" s="102"/>
      <c r="C81" s="102"/>
      <c r="D81" s="102"/>
      <c r="E81" s="102"/>
      <c r="F81" s="309"/>
      <c r="G81" s="309"/>
      <c r="H81" s="309"/>
      <c r="I81" s="109"/>
    </row>
    <row r="82" spans="1:9" ht="18" x14ac:dyDescent="0.25">
      <c r="A82" s="261" t="s">
        <v>195</v>
      </c>
      <c r="B82" s="102"/>
      <c r="C82" s="102"/>
      <c r="D82" s="102"/>
      <c r="E82" s="102"/>
      <c r="F82" s="102"/>
      <c r="G82" s="102"/>
      <c r="H82" s="102"/>
      <c r="I82" s="109"/>
    </row>
    <row r="83" spans="1:9" ht="12.6" customHeight="1" x14ac:dyDescent="0.25">
      <c r="A83" s="262"/>
      <c r="B83" s="262"/>
      <c r="C83" s="262"/>
      <c r="D83" s="262"/>
      <c r="E83" s="262"/>
      <c r="F83" s="262"/>
      <c r="G83" s="262"/>
      <c r="H83" s="262"/>
      <c r="I83" s="102"/>
    </row>
    <row r="84" spans="1:9" ht="18" x14ac:dyDescent="0.25">
      <c r="A84" s="262" t="s">
        <v>279</v>
      </c>
      <c r="B84" s="262"/>
      <c r="C84" s="262"/>
      <c r="D84" s="262"/>
      <c r="E84" s="262"/>
      <c r="F84" s="262"/>
      <c r="G84" s="262"/>
      <c r="H84" s="262"/>
      <c r="I84" s="102"/>
    </row>
    <row r="85" spans="1:9" ht="18" x14ac:dyDescent="0.25">
      <c r="A85" s="262" t="s">
        <v>197</v>
      </c>
      <c r="B85" s="262"/>
      <c r="C85" s="262"/>
      <c r="D85" s="262"/>
      <c r="E85" s="262"/>
      <c r="F85" s="262"/>
      <c r="G85" s="262"/>
      <c r="H85" s="262"/>
      <c r="I85" s="102"/>
    </row>
    <row r="86" spans="1:9" ht="18" x14ac:dyDescent="0.25">
      <c r="A86" s="262" t="s">
        <v>198</v>
      </c>
      <c r="B86" s="262"/>
      <c r="C86" s="262"/>
      <c r="D86" s="262"/>
      <c r="E86" s="262"/>
      <c r="F86" s="262"/>
      <c r="G86" s="262"/>
      <c r="H86" s="262"/>
      <c r="I86" s="102"/>
    </row>
    <row r="87" spans="1:9" ht="18" x14ac:dyDescent="0.25">
      <c r="A87" s="262" t="s">
        <v>199</v>
      </c>
      <c r="B87" s="262"/>
      <c r="C87" s="262"/>
      <c r="D87" s="262"/>
      <c r="E87" s="262"/>
      <c r="F87" s="262"/>
      <c r="G87" s="262"/>
      <c r="H87" s="262"/>
      <c r="I87" s="102"/>
    </row>
    <row r="88" spans="1:9" ht="18" x14ac:dyDescent="0.25">
      <c r="A88" s="262" t="s">
        <v>200</v>
      </c>
      <c r="B88" s="262"/>
      <c r="C88" s="262"/>
      <c r="D88" s="262"/>
      <c r="E88" s="262"/>
      <c r="F88" s="262"/>
      <c r="G88" s="262"/>
      <c r="H88" s="262"/>
      <c r="I88" s="102"/>
    </row>
    <row r="89" spans="1:9" ht="18" x14ac:dyDescent="0.25">
      <c r="A89" s="262" t="s">
        <v>275</v>
      </c>
      <c r="B89" s="262" t="str">
        <f>B17</f>
        <v>Veículo no mínimo de 32 lugares</v>
      </c>
      <c r="C89" s="262"/>
      <c r="D89" s="262"/>
      <c r="E89" s="262"/>
      <c r="F89" s="262"/>
      <c r="G89" s="262"/>
      <c r="H89" s="262"/>
      <c r="I89" s="102"/>
    </row>
    <row r="90" spans="1:9" ht="18" x14ac:dyDescent="0.25">
      <c r="A90" s="262" t="s">
        <v>201</v>
      </c>
      <c r="B90" s="262"/>
      <c r="C90" s="262"/>
      <c r="D90" s="262"/>
      <c r="E90" s="262"/>
      <c r="F90" s="262"/>
      <c r="G90" s="262"/>
      <c r="H90" s="262"/>
      <c r="I90" s="102"/>
    </row>
    <row r="91" spans="1:9" ht="18" x14ac:dyDescent="0.25">
      <c r="A91" s="262" t="s">
        <v>202</v>
      </c>
      <c r="B91" s="262" t="str">
        <f>A18</f>
        <v>Veículo no máximo 15 anos de uso (fabricação acima de 2004)</v>
      </c>
      <c r="C91" s="262"/>
      <c r="D91" s="262"/>
      <c r="E91" s="262"/>
      <c r="F91" s="262"/>
      <c r="G91" s="262"/>
      <c r="H91" s="262"/>
      <c r="I91" s="102"/>
    </row>
    <row r="92" spans="1:9" ht="18" x14ac:dyDescent="0.25">
      <c r="A92" s="262" t="s">
        <v>203</v>
      </c>
      <c r="B92" s="262"/>
      <c r="C92" s="262"/>
      <c r="D92" s="262"/>
      <c r="E92" s="262"/>
      <c r="F92" s="262"/>
      <c r="G92" s="262"/>
      <c r="H92" s="262"/>
      <c r="I92" s="102"/>
    </row>
    <row r="93" spans="1:9" ht="18" x14ac:dyDescent="0.25">
      <c r="A93" s="262" t="s">
        <v>266</v>
      </c>
      <c r="B93" s="262"/>
      <c r="C93" s="262"/>
      <c r="D93" s="262"/>
      <c r="E93" s="262"/>
      <c r="F93" s="262"/>
      <c r="G93" s="262"/>
      <c r="H93" s="262"/>
      <c r="I93" s="102"/>
    </row>
    <row r="94" spans="1:9" ht="18" x14ac:dyDescent="0.25">
      <c r="A94" s="262" t="s">
        <v>280</v>
      </c>
      <c r="B94" s="262"/>
      <c r="C94" s="262"/>
      <c r="D94" s="262"/>
      <c r="E94" s="262"/>
      <c r="F94" s="262"/>
      <c r="G94" s="262"/>
      <c r="H94" s="262"/>
      <c r="I94" s="102"/>
    </row>
    <row r="95" spans="1:9" ht="18" x14ac:dyDescent="0.25">
      <c r="A95" s="262" t="s">
        <v>204</v>
      </c>
      <c r="B95" s="262"/>
      <c r="C95" s="262"/>
      <c r="D95" s="262"/>
      <c r="E95" s="262"/>
      <c r="F95" s="262"/>
      <c r="G95" s="262"/>
      <c r="H95" s="262"/>
      <c r="I95" s="102"/>
    </row>
    <row r="96" spans="1:9" ht="18" x14ac:dyDescent="0.25">
      <c r="A96" s="262" t="s">
        <v>205</v>
      </c>
      <c r="B96" s="262"/>
      <c r="C96" s="262"/>
      <c r="D96" s="262"/>
      <c r="E96" s="262"/>
      <c r="F96" s="262"/>
      <c r="G96" s="262"/>
      <c r="H96" s="262"/>
      <c r="I96" s="102"/>
    </row>
    <row r="97" spans="1:9" ht="18" x14ac:dyDescent="0.25">
      <c r="A97" s="262" t="s">
        <v>261</v>
      </c>
      <c r="B97" s="262"/>
      <c r="C97" s="262"/>
      <c r="D97" s="262"/>
      <c r="E97" s="262"/>
      <c r="F97" s="262"/>
      <c r="G97" s="262"/>
      <c r="H97" s="262"/>
      <c r="I97" s="102"/>
    </row>
    <row r="98" spans="1:9" ht="18" x14ac:dyDescent="0.25">
      <c r="A98" s="262" t="s">
        <v>206</v>
      </c>
      <c r="B98" s="262"/>
      <c r="C98" s="262"/>
      <c r="D98" s="262"/>
      <c r="E98" s="262"/>
      <c r="F98" s="262"/>
      <c r="G98" s="262"/>
      <c r="H98" s="262"/>
      <c r="I98" s="102"/>
    </row>
    <row r="99" spans="1:9" ht="18" x14ac:dyDescent="0.25">
      <c r="A99" s="262" t="s">
        <v>207</v>
      </c>
      <c r="B99" s="262"/>
      <c r="C99" s="262"/>
      <c r="D99" s="262"/>
      <c r="E99" s="262"/>
      <c r="F99" s="262"/>
      <c r="G99" s="262"/>
      <c r="H99" s="262"/>
      <c r="I99" s="102"/>
    </row>
    <row r="100" spans="1:9" ht="18" x14ac:dyDescent="0.25">
      <c r="A100" s="262" t="s">
        <v>208</v>
      </c>
      <c r="B100" s="262"/>
      <c r="C100" s="262"/>
      <c r="D100" s="262"/>
      <c r="E100" s="262"/>
      <c r="F100" s="262"/>
      <c r="G100" s="262"/>
      <c r="H100" s="262"/>
      <c r="I100" s="102"/>
    </row>
    <row r="101" spans="1:9" ht="18" x14ac:dyDescent="0.25">
      <c r="A101" s="262" t="s">
        <v>209</v>
      </c>
      <c r="B101" s="262"/>
      <c r="C101" s="262"/>
      <c r="D101" s="262"/>
      <c r="E101" s="262"/>
      <c r="F101" s="262"/>
      <c r="G101" s="262"/>
      <c r="H101" s="262"/>
      <c r="I101" s="102"/>
    </row>
    <row r="102" spans="1:9" ht="18" x14ac:dyDescent="0.25">
      <c r="A102" s="262" t="s">
        <v>210</v>
      </c>
      <c r="B102" s="262"/>
      <c r="C102" s="262"/>
      <c r="D102" s="262"/>
      <c r="E102" s="262"/>
      <c r="F102" s="262"/>
      <c r="G102" s="262"/>
      <c r="H102" s="262"/>
      <c r="I102" s="102"/>
    </row>
    <row r="103" spans="1:9" ht="18" x14ac:dyDescent="0.25">
      <c r="A103" s="262" t="s">
        <v>211</v>
      </c>
      <c r="B103" s="262"/>
      <c r="C103" s="262"/>
      <c r="D103" s="262"/>
      <c r="E103" s="262"/>
      <c r="F103" s="262"/>
      <c r="G103" s="262"/>
      <c r="H103" s="262"/>
      <c r="I103" s="102"/>
    </row>
    <row r="104" spans="1:9" ht="18" x14ac:dyDescent="0.25">
      <c r="A104" s="262" t="s">
        <v>212</v>
      </c>
      <c r="B104" s="262"/>
      <c r="C104" s="262"/>
      <c r="D104" s="262"/>
      <c r="E104" s="262"/>
      <c r="F104" s="262"/>
      <c r="G104" s="263"/>
      <c r="H104" s="262"/>
      <c r="I104" s="102"/>
    </row>
    <row r="105" spans="1:9" ht="18" x14ac:dyDescent="0.25">
      <c r="A105" s="262" t="s">
        <v>213</v>
      </c>
      <c r="B105" s="262"/>
      <c r="C105" s="262"/>
      <c r="D105" s="262"/>
      <c r="E105" s="262"/>
      <c r="F105" s="262"/>
      <c r="G105" s="262"/>
      <c r="H105" s="262"/>
      <c r="I105" s="102"/>
    </row>
    <row r="106" spans="1:9" ht="18" x14ac:dyDescent="0.25">
      <c r="A106" s="262" t="s">
        <v>214</v>
      </c>
      <c r="B106" s="262"/>
      <c r="C106" s="262"/>
      <c r="D106" s="262"/>
      <c r="E106" s="262"/>
      <c r="F106" s="262"/>
      <c r="G106" s="262"/>
      <c r="H106" s="262"/>
      <c r="I106" s="102"/>
    </row>
    <row r="107" spans="1:9" ht="18" x14ac:dyDescent="0.25">
      <c r="A107" s="262" t="s">
        <v>215</v>
      </c>
      <c r="B107" s="262"/>
      <c r="C107" s="262"/>
      <c r="D107" s="262"/>
      <c r="E107" s="262"/>
      <c r="F107" s="262"/>
      <c r="G107" s="262"/>
      <c r="H107" s="262"/>
      <c r="I107" s="102"/>
    </row>
    <row r="108" spans="1:9" ht="18" x14ac:dyDescent="0.25">
      <c r="A108" s="262" t="s">
        <v>262</v>
      </c>
      <c r="B108" s="262"/>
      <c r="C108" s="262"/>
      <c r="D108" s="262"/>
      <c r="E108" s="262"/>
      <c r="F108" s="262"/>
      <c r="G108" s="262"/>
      <c r="H108" s="262"/>
      <c r="I108" s="102"/>
    </row>
    <row r="109" spans="1:9" ht="18" x14ac:dyDescent="0.25">
      <c r="A109" s="262" t="s">
        <v>263</v>
      </c>
      <c r="B109" s="262"/>
      <c r="C109" s="262"/>
      <c r="D109" s="262"/>
      <c r="E109" s="262"/>
      <c r="F109" s="262"/>
      <c r="G109" s="262"/>
      <c r="H109" s="262"/>
      <c r="I109" s="102"/>
    </row>
    <row r="110" spans="1:9" ht="18" x14ac:dyDescent="0.25">
      <c r="A110" s="262" t="s">
        <v>216</v>
      </c>
      <c r="B110" s="262"/>
      <c r="C110" s="262"/>
      <c r="D110" s="262"/>
      <c r="E110" s="262"/>
      <c r="F110" s="262"/>
      <c r="G110" s="262"/>
      <c r="H110" s="262"/>
      <c r="I110" s="102"/>
    </row>
    <row r="111" spans="1:9" ht="18" x14ac:dyDescent="0.25">
      <c r="A111" s="262" t="s">
        <v>217</v>
      </c>
      <c r="B111" s="262"/>
      <c r="C111" s="262"/>
      <c r="D111" s="262"/>
      <c r="E111" s="262"/>
      <c r="F111" s="262"/>
      <c r="G111" s="262"/>
      <c r="H111" s="262"/>
      <c r="I111" s="102"/>
    </row>
    <row r="112" spans="1:9" ht="18" x14ac:dyDescent="0.25">
      <c r="A112" s="262" t="s">
        <v>218</v>
      </c>
      <c r="B112" s="262"/>
      <c r="C112" s="262"/>
      <c r="D112" s="262"/>
      <c r="E112" s="262"/>
      <c r="F112" s="262"/>
      <c r="G112" s="262"/>
      <c r="H112" s="262"/>
      <c r="I112" s="102"/>
    </row>
    <row r="113" spans="1:9" ht="18" x14ac:dyDescent="0.25">
      <c r="A113" s="262" t="s">
        <v>219</v>
      </c>
      <c r="B113" s="262"/>
      <c r="C113" s="262"/>
      <c r="D113" s="262"/>
      <c r="E113" s="262"/>
      <c r="F113" s="262"/>
      <c r="G113" s="262"/>
      <c r="H113" s="262"/>
      <c r="I113" s="102"/>
    </row>
    <row r="114" spans="1:9" ht="18" x14ac:dyDescent="0.25">
      <c r="A114" s="262" t="s">
        <v>220</v>
      </c>
      <c r="B114" s="262"/>
      <c r="C114" s="262"/>
      <c r="D114" s="262"/>
      <c r="E114" s="262"/>
      <c r="F114" s="262"/>
      <c r="G114" s="262"/>
      <c r="H114" s="262"/>
      <c r="I114" s="102"/>
    </row>
    <row r="115" spans="1:9" ht="18" x14ac:dyDescent="0.25">
      <c r="A115" s="262" t="s">
        <v>221</v>
      </c>
      <c r="B115" s="262"/>
      <c r="C115" s="262"/>
      <c r="D115" s="262"/>
      <c r="E115" s="262"/>
      <c r="F115" s="262"/>
      <c r="G115" s="262"/>
      <c r="H115" s="262"/>
      <c r="I115" s="102"/>
    </row>
    <row r="116" spans="1:9" ht="18" x14ac:dyDescent="0.25">
      <c r="A116" s="262" t="s">
        <v>222</v>
      </c>
      <c r="B116" s="262"/>
      <c r="C116" s="262"/>
      <c r="D116" s="262"/>
      <c r="E116" s="262"/>
      <c r="F116" s="262"/>
      <c r="G116" s="262"/>
      <c r="H116" s="262"/>
      <c r="I116" s="102"/>
    </row>
    <row r="117" spans="1:9" ht="18" x14ac:dyDescent="0.25">
      <c r="A117" s="262" t="s">
        <v>223</v>
      </c>
      <c r="B117" s="262"/>
      <c r="C117" s="262"/>
      <c r="D117" s="262"/>
      <c r="E117" s="262"/>
      <c r="F117" s="262"/>
      <c r="G117" s="262"/>
      <c r="H117" s="262"/>
      <c r="I117" s="102"/>
    </row>
    <row r="118" spans="1:9" ht="18" x14ac:dyDescent="0.25">
      <c r="A118" s="262" t="s">
        <v>264</v>
      </c>
      <c r="B118" s="262"/>
      <c r="C118" s="262"/>
      <c r="D118" s="262"/>
      <c r="E118" s="262"/>
      <c r="F118" s="262"/>
      <c r="G118" s="262"/>
      <c r="H118" s="262"/>
      <c r="I118" s="102"/>
    </row>
    <row r="119" spans="1:9" ht="18" x14ac:dyDescent="0.25">
      <c r="A119" s="262" t="s">
        <v>224</v>
      </c>
      <c r="B119" s="102"/>
      <c r="C119" s="102"/>
      <c r="D119" s="102"/>
      <c r="E119" s="102"/>
      <c r="F119" s="102"/>
      <c r="G119" s="102"/>
      <c r="H119" s="102"/>
      <c r="I119" s="102"/>
    </row>
    <row r="120" spans="1:9" ht="18" x14ac:dyDescent="0.25">
      <c r="A120" s="262" t="s">
        <v>225</v>
      </c>
      <c r="B120" s="102"/>
      <c r="C120" s="102"/>
      <c r="D120" s="102"/>
      <c r="E120" s="102"/>
      <c r="F120" s="102"/>
      <c r="G120" s="102"/>
      <c r="H120" s="102"/>
      <c r="I120" s="102"/>
    </row>
    <row r="121" spans="1:9" ht="18" x14ac:dyDescent="0.25">
      <c r="A121" s="262" t="s">
        <v>265</v>
      </c>
      <c r="B121" s="102"/>
      <c r="C121" s="102"/>
      <c r="D121" s="102"/>
      <c r="E121" s="102"/>
      <c r="F121" s="102"/>
      <c r="G121" s="102"/>
      <c r="H121" s="102"/>
      <c r="I121" s="102"/>
    </row>
    <row r="122" spans="1:9" ht="18" x14ac:dyDescent="0.25">
      <c r="A122" s="262" t="s">
        <v>226</v>
      </c>
      <c r="B122" s="102"/>
      <c r="C122" s="102"/>
      <c r="D122" s="102"/>
      <c r="E122" s="102"/>
      <c r="F122" s="102"/>
      <c r="G122" s="102"/>
      <c r="H122" s="102"/>
      <c r="I122" s="102"/>
    </row>
    <row r="123" spans="1:9" ht="18" x14ac:dyDescent="0.25">
      <c r="A123" s="262" t="s">
        <v>227</v>
      </c>
      <c r="B123" s="102"/>
      <c r="C123" s="102"/>
      <c r="D123" s="102"/>
      <c r="E123" s="102"/>
      <c r="F123" s="102"/>
      <c r="G123" s="102"/>
      <c r="H123" s="102"/>
      <c r="I123" s="102"/>
    </row>
    <row r="124" spans="1:9" ht="18" x14ac:dyDescent="0.25">
      <c r="A124" s="262" t="s">
        <v>228</v>
      </c>
      <c r="B124" s="102"/>
      <c r="C124" s="102"/>
      <c r="D124" s="102"/>
      <c r="E124" s="102"/>
      <c r="F124" s="102"/>
      <c r="G124" s="102"/>
      <c r="H124" s="102"/>
      <c r="I124" s="102"/>
    </row>
    <row r="125" spans="1:9" ht="18" x14ac:dyDescent="0.25">
      <c r="A125" s="262" t="s">
        <v>229</v>
      </c>
      <c r="B125" s="102"/>
      <c r="C125" s="102"/>
      <c r="D125" s="102"/>
      <c r="E125" s="102"/>
      <c r="F125" s="102"/>
      <c r="G125" s="102"/>
      <c r="H125" s="102"/>
      <c r="I125" s="102"/>
    </row>
    <row r="126" spans="1:9" ht="18" x14ac:dyDescent="0.25">
      <c r="A126" s="262" t="s">
        <v>230</v>
      </c>
      <c r="B126" s="102"/>
      <c r="C126" s="102"/>
      <c r="D126" s="102"/>
      <c r="E126" s="102"/>
      <c r="F126" s="102"/>
      <c r="G126" s="102"/>
      <c r="H126" s="102"/>
      <c r="I126" s="102"/>
    </row>
    <row r="127" spans="1:9" ht="18" x14ac:dyDescent="0.25">
      <c r="A127" s="262" t="s">
        <v>231</v>
      </c>
      <c r="B127" s="102"/>
      <c r="C127" s="102"/>
      <c r="D127" s="102"/>
      <c r="E127" s="102"/>
      <c r="F127" s="102"/>
      <c r="G127" s="102"/>
      <c r="H127" s="102"/>
      <c r="I127" s="102"/>
    </row>
    <row r="128" spans="1:9" ht="16.5" x14ac:dyDescent="0.25">
      <c r="A128" s="264"/>
      <c r="B128" s="102"/>
      <c r="C128" s="102"/>
      <c r="D128" s="102"/>
      <c r="E128" s="102"/>
      <c r="F128" s="102"/>
      <c r="G128" s="102"/>
      <c r="H128" s="102"/>
      <c r="I128" s="102"/>
    </row>
    <row r="129" spans="1:9" ht="18" x14ac:dyDescent="0.25">
      <c r="A129" s="262" t="s">
        <v>283</v>
      </c>
      <c r="B129" s="102"/>
      <c r="C129" s="102"/>
      <c r="D129" s="102"/>
      <c r="E129" s="102"/>
      <c r="F129" s="102"/>
      <c r="G129" s="102"/>
      <c r="H129" s="102"/>
      <c r="I129" s="102"/>
    </row>
    <row r="130" spans="1:9" ht="18" x14ac:dyDescent="0.25">
      <c r="A130" s="262"/>
      <c r="B130" s="102"/>
      <c r="C130" s="102"/>
      <c r="D130" s="102"/>
      <c r="E130" s="102"/>
      <c r="F130" s="102"/>
      <c r="G130" s="102"/>
      <c r="H130" s="102"/>
      <c r="I130" s="102"/>
    </row>
    <row r="131" spans="1:9" ht="18" x14ac:dyDescent="0.25">
      <c r="A131" s="262"/>
      <c r="B131" s="102"/>
      <c r="C131" s="102"/>
      <c r="D131" s="102"/>
      <c r="E131" s="102"/>
      <c r="F131" s="102"/>
      <c r="G131" s="102"/>
      <c r="H131" s="102"/>
      <c r="I131" s="102"/>
    </row>
    <row r="132" spans="1:9" ht="18" x14ac:dyDescent="0.25">
      <c r="A132" s="262" t="s">
        <v>232</v>
      </c>
      <c r="B132" s="102"/>
      <c r="C132" s="102"/>
      <c r="D132" s="102"/>
      <c r="E132" s="102"/>
      <c r="F132" s="102"/>
      <c r="G132" s="102"/>
      <c r="H132" s="102"/>
      <c r="I132" s="102"/>
    </row>
    <row r="133" spans="1:9" x14ac:dyDescent="0.2">
      <c r="A133" s="102"/>
      <c r="B133" s="102"/>
      <c r="C133" s="102"/>
      <c r="D133" s="102"/>
      <c r="E133" s="102"/>
      <c r="F133" s="102"/>
      <c r="G133" s="102"/>
      <c r="H133" s="102"/>
      <c r="I133" s="102"/>
    </row>
    <row r="134" spans="1:9" x14ac:dyDescent="0.2">
      <c r="A134" s="102"/>
      <c r="B134" s="102"/>
      <c r="C134" s="102"/>
      <c r="D134" s="102"/>
      <c r="E134" s="102"/>
      <c r="F134" s="102"/>
      <c r="G134" s="102"/>
      <c r="H134" s="102"/>
      <c r="I134" s="102"/>
    </row>
    <row r="135" spans="1:9" x14ac:dyDescent="0.2">
      <c r="A135" s="102"/>
      <c r="B135" s="102"/>
      <c r="C135" s="102"/>
      <c r="D135" s="102"/>
      <c r="E135" s="102"/>
      <c r="F135" s="102"/>
      <c r="G135" s="102"/>
      <c r="H135" s="102"/>
      <c r="I135" s="102"/>
    </row>
  </sheetData>
  <mergeCells count="19">
    <mergeCell ref="A20:F20"/>
    <mergeCell ref="A1:H1"/>
    <mergeCell ref="A2:H2"/>
    <mergeCell ref="A3:H3"/>
    <mergeCell ref="A4:H4"/>
    <mergeCell ref="A11:F11"/>
    <mergeCell ref="A14:F14"/>
    <mergeCell ref="A15:F15"/>
    <mergeCell ref="A16:F16"/>
    <mergeCell ref="B17:G17"/>
    <mergeCell ref="A18:F18"/>
    <mergeCell ref="A19:F19"/>
    <mergeCell ref="F80:H81"/>
    <mergeCell ref="A21:F21"/>
    <mergeCell ref="A22:F22"/>
    <mergeCell ref="A30:H30"/>
    <mergeCell ref="A45:G45"/>
    <mergeCell ref="A47:G47"/>
    <mergeCell ref="A58:G58"/>
  </mergeCells>
  <pageMargins left="0.51181102362204722" right="0.51181102362204722" top="0.78740157480314965" bottom="0.78740157480314965" header="0.31496062992125984" footer="0.31496062992125984"/>
  <pageSetup paperSize="9" scale="63" fitToHeight="2"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5"/>
  <sheetViews>
    <sheetView workbookViewId="0">
      <selection sqref="A1:H1"/>
    </sheetView>
  </sheetViews>
  <sheetFormatPr defaultRowHeight="12.75" x14ac:dyDescent="0.2"/>
  <cols>
    <col min="1" max="1" width="39.28515625" customWidth="1"/>
    <col min="2" max="2" width="12.85546875" customWidth="1"/>
    <col min="4" max="4" width="21.5703125" customWidth="1"/>
    <col min="5" max="5" width="17.7109375" bestFit="1" customWidth="1"/>
    <col min="6" max="6" width="19" bestFit="1" customWidth="1"/>
    <col min="7" max="8" width="14.7109375" bestFit="1" customWidth="1"/>
    <col min="9" max="9" width="12.140625" bestFit="1" customWidth="1"/>
  </cols>
  <sheetData>
    <row r="1" spans="1:10" ht="16.5" thickBot="1" x14ac:dyDescent="0.3">
      <c r="A1" s="320" t="s">
        <v>289</v>
      </c>
      <c r="B1" s="321"/>
      <c r="C1" s="321"/>
      <c r="D1" s="321"/>
      <c r="E1" s="321"/>
      <c r="F1" s="321"/>
      <c r="G1" s="321"/>
      <c r="H1" s="322"/>
      <c r="I1" s="100"/>
    </row>
    <row r="2" spans="1:10" ht="16.5" thickBot="1" x14ac:dyDescent="0.3">
      <c r="A2" s="323" t="s">
        <v>268</v>
      </c>
      <c r="B2" s="324"/>
      <c r="C2" s="324"/>
      <c r="D2" s="324"/>
      <c r="E2" s="324"/>
      <c r="F2" s="324"/>
      <c r="G2" s="324"/>
      <c r="H2" s="325"/>
      <c r="I2" s="100"/>
    </row>
    <row r="3" spans="1:10" ht="16.5" thickBot="1" x14ac:dyDescent="0.3">
      <c r="A3" s="320" t="s">
        <v>131</v>
      </c>
      <c r="B3" s="321"/>
      <c r="C3" s="321"/>
      <c r="D3" s="321"/>
      <c r="E3" s="321"/>
      <c r="F3" s="321"/>
      <c r="G3" s="321"/>
      <c r="H3" s="322"/>
      <c r="I3" s="100"/>
    </row>
    <row r="4" spans="1:10" ht="15.75" thickBot="1" x14ac:dyDescent="0.25">
      <c r="A4" s="326" t="s">
        <v>9</v>
      </c>
      <c r="B4" s="327"/>
      <c r="C4" s="327"/>
      <c r="D4" s="327"/>
      <c r="E4" s="327"/>
      <c r="F4" s="327"/>
      <c r="G4" s="327"/>
      <c r="H4" s="328"/>
      <c r="I4" s="104"/>
    </row>
    <row r="5" spans="1:10" ht="15.75" x14ac:dyDescent="0.25">
      <c r="A5" s="105"/>
      <c r="B5" s="105"/>
      <c r="C5" s="105"/>
      <c r="D5" s="105"/>
      <c r="E5" s="105"/>
      <c r="F5" s="105"/>
      <c r="G5" s="105"/>
      <c r="H5" s="101"/>
      <c r="I5" s="101"/>
    </row>
    <row r="6" spans="1:10" ht="15.75" x14ac:dyDescent="0.25">
      <c r="A6" s="106" t="s">
        <v>132</v>
      </c>
      <c r="B6" s="101"/>
      <c r="C6" s="101"/>
      <c r="D6" s="101"/>
      <c r="E6" s="101"/>
      <c r="F6" s="101"/>
      <c r="G6" s="101"/>
      <c r="H6" s="101"/>
      <c r="I6" s="101"/>
    </row>
    <row r="7" spans="1:10" ht="15.75" x14ac:dyDescent="0.25">
      <c r="A7" s="107" t="s">
        <v>133</v>
      </c>
      <c r="B7" s="108" t="s">
        <v>285</v>
      </c>
      <c r="C7" s="108"/>
      <c r="D7" s="108"/>
      <c r="E7" s="108"/>
      <c r="F7" s="108"/>
      <c r="G7" s="108" t="s">
        <v>135</v>
      </c>
      <c r="H7" s="109"/>
      <c r="I7" s="109"/>
    </row>
    <row r="8" spans="1:10" ht="15.75" x14ac:dyDescent="0.25">
      <c r="A8" s="107" t="s">
        <v>136</v>
      </c>
      <c r="B8" s="110">
        <v>26</v>
      </c>
      <c r="C8" s="110"/>
      <c r="D8" s="110"/>
      <c r="E8" s="110"/>
      <c r="F8" s="110"/>
      <c r="G8" s="111">
        <f>SUM(B8:F8)</f>
        <v>26</v>
      </c>
      <c r="H8" s="109"/>
      <c r="I8" s="109"/>
    </row>
    <row r="9" spans="1:10" ht="15.75" x14ac:dyDescent="0.25">
      <c r="A9" s="107" t="s">
        <v>137</v>
      </c>
      <c r="B9" s="112"/>
      <c r="C9" s="112"/>
      <c r="D9" s="112"/>
      <c r="E9" s="112"/>
      <c r="F9" s="112"/>
      <c r="G9" s="113">
        <v>0</v>
      </c>
      <c r="H9" s="109"/>
      <c r="I9" s="109"/>
    </row>
    <row r="10" spans="1:10" ht="15.75" x14ac:dyDescent="0.25">
      <c r="A10" s="107" t="s">
        <v>138</v>
      </c>
      <c r="B10" s="114">
        <f>Roteiros!D29</f>
        <v>64.056820000000016</v>
      </c>
      <c r="C10" s="114"/>
      <c r="D10" s="114"/>
      <c r="E10" s="114"/>
      <c r="F10" s="114"/>
      <c r="G10" s="115">
        <f>SUM(B10:F10)</f>
        <v>64.056820000000016</v>
      </c>
      <c r="H10" s="109"/>
      <c r="I10" s="109"/>
    </row>
    <row r="11" spans="1:10" ht="15.75" x14ac:dyDescent="0.25">
      <c r="A11" s="310" t="s">
        <v>139</v>
      </c>
      <c r="B11" s="311"/>
      <c r="C11" s="311"/>
      <c r="D11" s="311"/>
      <c r="E11" s="311"/>
      <c r="F11" s="312"/>
      <c r="G11" s="116">
        <f>G10+G9</f>
        <v>64.056820000000016</v>
      </c>
      <c r="H11" s="109"/>
      <c r="I11" s="109"/>
    </row>
    <row r="12" spans="1:10" ht="15.75" x14ac:dyDescent="0.25">
      <c r="A12" s="298" t="s">
        <v>140</v>
      </c>
      <c r="B12" s="118" t="s">
        <v>267</v>
      </c>
      <c r="C12" s="118"/>
      <c r="D12" s="118"/>
      <c r="E12" s="119"/>
      <c r="F12" s="119"/>
      <c r="G12" s="120" t="s">
        <v>142</v>
      </c>
      <c r="H12" s="109"/>
      <c r="I12" s="109"/>
      <c r="J12" s="109"/>
    </row>
    <row r="13" spans="1:10" ht="15.75" x14ac:dyDescent="0.25">
      <c r="A13" s="298" t="s">
        <v>143</v>
      </c>
      <c r="B13" s="118">
        <v>1.83</v>
      </c>
      <c r="C13" s="118"/>
      <c r="D13" s="118"/>
      <c r="E13" s="121"/>
      <c r="F13" s="121"/>
      <c r="G13" s="115">
        <f>SUM(B13:F13)</f>
        <v>1.83</v>
      </c>
      <c r="H13" s="122"/>
      <c r="I13" s="109"/>
      <c r="J13" s="109"/>
    </row>
    <row r="14" spans="1:10" ht="15.75" x14ac:dyDescent="0.25">
      <c r="A14" s="310" t="s">
        <v>144</v>
      </c>
      <c r="B14" s="311"/>
      <c r="C14" s="311"/>
      <c r="D14" s="311"/>
      <c r="E14" s="311"/>
      <c r="F14" s="312"/>
      <c r="G14" s="115">
        <v>3</v>
      </c>
      <c r="H14" s="123"/>
      <c r="I14" s="123"/>
      <c r="J14" s="123"/>
    </row>
    <row r="15" spans="1:10" ht="15.75" x14ac:dyDescent="0.25">
      <c r="A15" s="310" t="s">
        <v>145</v>
      </c>
      <c r="B15" s="311"/>
      <c r="C15" s="311"/>
      <c r="D15" s="311"/>
      <c r="E15" s="311"/>
      <c r="F15" s="312"/>
      <c r="G15" s="116">
        <f>(G14+G13)</f>
        <v>4.83</v>
      </c>
      <c r="H15" s="123"/>
      <c r="I15" s="123"/>
      <c r="J15" s="123"/>
    </row>
    <row r="16" spans="1:10" ht="15.75" x14ac:dyDescent="0.25">
      <c r="A16" s="310" t="s">
        <v>146</v>
      </c>
      <c r="B16" s="311"/>
      <c r="C16" s="311"/>
      <c r="D16" s="311"/>
      <c r="E16" s="311"/>
      <c r="F16" s="312"/>
      <c r="G16" s="124">
        <f>B36/12/(G8/2)</f>
        <v>8.4935897435897445</v>
      </c>
      <c r="H16" s="109"/>
      <c r="I16" s="109"/>
    </row>
    <row r="17" spans="1:9" ht="15.75" x14ac:dyDescent="0.25">
      <c r="A17" s="120" t="s">
        <v>147</v>
      </c>
      <c r="B17" s="329" t="s">
        <v>277</v>
      </c>
      <c r="C17" s="330"/>
      <c r="D17" s="330"/>
      <c r="E17" s="330"/>
      <c r="F17" s="330"/>
      <c r="G17" s="331"/>
      <c r="H17" s="109"/>
      <c r="I17" s="109"/>
    </row>
    <row r="18" spans="1:9" ht="15.75" x14ac:dyDescent="0.25">
      <c r="A18" s="332" t="s">
        <v>149</v>
      </c>
      <c r="B18" s="333"/>
      <c r="C18" s="333"/>
      <c r="D18" s="333"/>
      <c r="E18" s="333"/>
      <c r="F18" s="334"/>
      <c r="G18" s="125">
        <v>178900</v>
      </c>
      <c r="H18" s="109"/>
      <c r="I18" s="109"/>
    </row>
    <row r="19" spans="1:9" ht="15.75" x14ac:dyDescent="0.25">
      <c r="A19" s="310" t="s">
        <v>150</v>
      </c>
      <c r="B19" s="311"/>
      <c r="C19" s="311"/>
      <c r="D19" s="311"/>
      <c r="E19" s="311"/>
      <c r="F19" s="312"/>
      <c r="G19" s="115">
        <v>3.67</v>
      </c>
      <c r="H19" s="109"/>
      <c r="I19" s="109"/>
    </row>
    <row r="20" spans="1:9" ht="15.75" x14ac:dyDescent="0.25">
      <c r="A20" s="310" t="s">
        <v>151</v>
      </c>
      <c r="B20" s="311"/>
      <c r="C20" s="311"/>
      <c r="D20" s="311"/>
      <c r="E20" s="311"/>
      <c r="F20" s="312"/>
      <c r="G20" s="115">
        <v>4.5</v>
      </c>
      <c r="H20" s="109"/>
      <c r="I20" s="109"/>
    </row>
    <row r="21" spans="1:9" ht="15.75" x14ac:dyDescent="0.25">
      <c r="A21" s="310" t="s">
        <v>152</v>
      </c>
      <c r="B21" s="311"/>
      <c r="C21" s="311"/>
      <c r="D21" s="311"/>
      <c r="E21" s="311"/>
      <c r="F21" s="312"/>
      <c r="G21" s="115">
        <v>0.6</v>
      </c>
      <c r="H21" s="109"/>
      <c r="I21" s="109"/>
    </row>
    <row r="22" spans="1:9" ht="15.75" x14ac:dyDescent="0.25">
      <c r="A22" s="310" t="s">
        <v>153</v>
      </c>
      <c r="B22" s="311"/>
      <c r="C22" s="311"/>
      <c r="D22" s="311"/>
      <c r="E22" s="311"/>
      <c r="F22" s="312"/>
      <c r="G22" s="126">
        <v>20</v>
      </c>
      <c r="H22" s="109"/>
      <c r="I22" s="109"/>
    </row>
    <row r="23" spans="1:9" ht="15" x14ac:dyDescent="0.2">
      <c r="A23" s="109"/>
      <c r="B23" s="109"/>
      <c r="C23" s="109"/>
      <c r="D23" s="109"/>
      <c r="E23" s="109"/>
      <c r="F23" s="109"/>
      <c r="G23" s="109"/>
      <c r="H23" s="109"/>
      <c r="I23" s="109"/>
    </row>
    <row r="24" spans="1:9" ht="15.75" x14ac:dyDescent="0.25">
      <c r="A24" s="127" t="s">
        <v>154</v>
      </c>
      <c r="B24" s="128" t="s">
        <v>128</v>
      </c>
      <c r="C24" s="101"/>
      <c r="D24" s="100"/>
      <c r="E24" s="100"/>
      <c r="F24" s="100"/>
      <c r="G24" s="100"/>
      <c r="H24" s="100"/>
      <c r="I24" s="109"/>
    </row>
    <row r="25" spans="1:9" ht="15.75" x14ac:dyDescent="0.25">
      <c r="A25" s="120" t="s">
        <v>155</v>
      </c>
      <c r="B25" s="129">
        <f>(G22*G11*G19)/G20</f>
        <v>1044.8379084444448</v>
      </c>
      <c r="C25" s="130"/>
      <c r="D25" s="131"/>
      <c r="E25" s="132"/>
      <c r="F25" s="132"/>
      <c r="G25" s="132"/>
      <c r="H25" s="133"/>
      <c r="I25" s="109"/>
    </row>
    <row r="26" spans="1:9" ht="15.75" x14ac:dyDescent="0.25">
      <c r="A26" s="120" t="s">
        <v>156</v>
      </c>
      <c r="B26" s="129">
        <f>G21*B25</f>
        <v>626.90274506666685</v>
      </c>
      <c r="C26" s="130"/>
      <c r="D26" s="131"/>
      <c r="E26" s="132"/>
      <c r="F26" s="132"/>
      <c r="G26" s="132"/>
      <c r="H26" s="133"/>
      <c r="I26" s="109"/>
    </row>
    <row r="27" spans="1:9" ht="15" x14ac:dyDescent="0.2">
      <c r="A27" s="134"/>
      <c r="B27" s="134"/>
      <c r="C27" s="131"/>
      <c r="D27" s="131"/>
      <c r="E27" s="132"/>
      <c r="F27" s="132"/>
      <c r="G27" s="132"/>
      <c r="H27" s="133"/>
      <c r="I27" s="109"/>
    </row>
    <row r="28" spans="1:9" ht="15.75" x14ac:dyDescent="0.25">
      <c r="A28" s="108" t="s">
        <v>157</v>
      </c>
      <c r="B28" s="135">
        <f>SUM(B25:B27)</f>
        <v>1671.7406535111118</v>
      </c>
      <c r="C28" s="136"/>
      <c r="D28" s="131"/>
      <c r="E28" s="109"/>
      <c r="F28" s="109"/>
      <c r="G28" s="109"/>
      <c r="H28" s="109"/>
      <c r="I28" s="109"/>
    </row>
    <row r="29" spans="1:9" ht="15.75" x14ac:dyDescent="0.25">
      <c r="A29" s="137"/>
      <c r="B29" s="138"/>
      <c r="C29" s="138"/>
      <c r="D29" s="109"/>
      <c r="E29" s="109"/>
      <c r="F29" s="109"/>
      <c r="G29" s="109"/>
      <c r="H29" s="109"/>
      <c r="I29" s="109"/>
    </row>
    <row r="30" spans="1:9" ht="15.75" x14ac:dyDescent="0.25">
      <c r="A30" s="313" t="s">
        <v>158</v>
      </c>
      <c r="B30" s="314"/>
      <c r="C30" s="314"/>
      <c r="D30" s="314"/>
      <c r="E30" s="314"/>
      <c r="F30" s="314"/>
      <c r="G30" s="314"/>
      <c r="H30" s="314"/>
      <c r="I30" s="100"/>
    </row>
    <row r="31" spans="1:9" ht="15.75" x14ac:dyDescent="0.25">
      <c r="A31" s="139" t="s">
        <v>159</v>
      </c>
      <c r="B31" s="140">
        <f>(G18-H42)*0.05</f>
        <v>2618.2015000000001</v>
      </c>
      <c r="C31" s="141"/>
      <c r="D31" s="142" t="s">
        <v>160</v>
      </c>
      <c r="E31" s="142" t="s">
        <v>161</v>
      </c>
      <c r="F31" s="142" t="s">
        <v>162</v>
      </c>
      <c r="G31" s="142" t="s">
        <v>163</v>
      </c>
      <c r="H31" s="142" t="s">
        <v>135</v>
      </c>
      <c r="I31" s="102"/>
    </row>
    <row r="32" spans="1:9" ht="15.75" x14ac:dyDescent="0.25">
      <c r="A32" s="134" t="s">
        <v>164</v>
      </c>
      <c r="B32" s="143">
        <v>164.82</v>
      </c>
      <c r="C32" s="141"/>
      <c r="D32" s="113">
        <v>1799.53</v>
      </c>
      <c r="E32" s="144">
        <f>'Encargos Sociais'!C38</f>
        <v>0.38321660000000002</v>
      </c>
      <c r="F32" s="145">
        <f>(D32*E32)+D32</f>
        <v>2489.1397681979997</v>
      </c>
      <c r="G32" s="146">
        <v>11.2</v>
      </c>
      <c r="H32" s="116">
        <f>F32*G32</f>
        <v>27878.365403817596</v>
      </c>
      <c r="I32" s="102"/>
    </row>
    <row r="33" spans="1:9" ht="15.75" x14ac:dyDescent="0.25">
      <c r="A33" s="134" t="s">
        <v>165</v>
      </c>
      <c r="B33" s="143">
        <v>100</v>
      </c>
      <c r="C33" s="141"/>
      <c r="D33" s="108" t="s">
        <v>166</v>
      </c>
      <c r="E33" s="108" t="s">
        <v>167</v>
      </c>
      <c r="F33" s="108" t="s">
        <v>162</v>
      </c>
      <c r="G33" s="108" t="s">
        <v>163</v>
      </c>
      <c r="H33" s="108" t="s">
        <v>135</v>
      </c>
      <c r="I33" s="102"/>
    </row>
    <row r="34" spans="1:9" ht="15.75" x14ac:dyDescent="0.25">
      <c r="A34" s="134" t="s">
        <v>168</v>
      </c>
      <c r="B34" s="143">
        <v>700</v>
      </c>
      <c r="C34" s="141"/>
      <c r="D34" s="147">
        <v>17.739999999999998</v>
      </c>
      <c r="E34" s="148">
        <f>G22</f>
        <v>20</v>
      </c>
      <c r="F34" s="149">
        <f>D34*E34</f>
        <v>354.79999999999995</v>
      </c>
      <c r="G34" s="150">
        <v>10</v>
      </c>
      <c r="H34" s="116">
        <f>F34*G34</f>
        <v>3547.9999999999995</v>
      </c>
      <c r="I34" s="102"/>
    </row>
    <row r="35" spans="1:9" ht="15.75" x14ac:dyDescent="0.25">
      <c r="A35" s="134" t="s">
        <v>169</v>
      </c>
      <c r="B35" s="143">
        <f>H43</f>
        <v>8435.7313333333332</v>
      </c>
      <c r="C35" s="141"/>
      <c r="D35" s="151" t="s">
        <v>170</v>
      </c>
      <c r="E35" s="148"/>
      <c r="F35" s="152"/>
      <c r="G35" s="150"/>
      <c r="H35" s="116">
        <f>H32+H34</f>
        <v>31426.365403817596</v>
      </c>
      <c r="I35" s="102"/>
    </row>
    <row r="36" spans="1:9" ht="15.75" thickBot="1" x14ac:dyDescent="0.25">
      <c r="A36" s="134" t="s">
        <v>171</v>
      </c>
      <c r="B36" s="143">
        <v>1325</v>
      </c>
      <c r="C36" s="141"/>
      <c r="D36" s="109"/>
      <c r="E36" s="102"/>
      <c r="F36" s="102"/>
      <c r="G36" s="102"/>
      <c r="H36" s="102"/>
      <c r="I36" s="102"/>
    </row>
    <row r="37" spans="1:9" ht="16.5" thickBot="1" x14ac:dyDescent="0.25">
      <c r="A37" s="134" t="s">
        <v>172</v>
      </c>
      <c r="B37" s="153">
        <v>1</v>
      </c>
      <c r="C37" s="154"/>
      <c r="D37" s="155" t="s">
        <v>173</v>
      </c>
      <c r="E37" s="156"/>
      <c r="F37" s="156"/>
      <c r="G37" s="109"/>
      <c r="H37" s="109"/>
      <c r="I37" s="102"/>
    </row>
    <row r="38" spans="1:9" ht="15.75" thickBot="1" x14ac:dyDescent="0.25">
      <c r="A38" s="134" t="s">
        <v>174</v>
      </c>
      <c r="B38" s="147">
        <f>H35*B37</f>
        <v>31426.365403817596</v>
      </c>
      <c r="C38" s="138"/>
      <c r="D38" s="157" t="s">
        <v>10</v>
      </c>
      <c r="E38" s="158" t="s">
        <v>11</v>
      </c>
      <c r="F38" s="158" t="s">
        <v>6</v>
      </c>
      <c r="G38" s="159" t="s">
        <v>93</v>
      </c>
      <c r="H38" s="159" t="s">
        <v>12</v>
      </c>
      <c r="I38" s="102"/>
    </row>
    <row r="39" spans="1:9" ht="15.75" x14ac:dyDescent="0.25">
      <c r="A39" s="120" t="s">
        <v>175</v>
      </c>
      <c r="B39" s="135">
        <f>SUM(B31:B36)+B38</f>
        <v>44770.118237150928</v>
      </c>
      <c r="C39" s="136"/>
      <c r="D39" s="160" t="s">
        <v>176</v>
      </c>
      <c r="E39" s="161" t="s">
        <v>2</v>
      </c>
      <c r="F39" s="162">
        <v>1</v>
      </c>
      <c r="G39" s="163">
        <f>G18</f>
        <v>178900</v>
      </c>
      <c r="H39" s="164">
        <f>F39*G39</f>
        <v>178900</v>
      </c>
      <c r="I39" s="102"/>
    </row>
    <row r="40" spans="1:9" ht="15.75" x14ac:dyDescent="0.25">
      <c r="A40" s="120" t="s">
        <v>177</v>
      </c>
      <c r="B40" s="135">
        <f>B39/10*B41</f>
        <v>2457.2689896072611</v>
      </c>
      <c r="C40" s="136"/>
      <c r="D40" s="165" t="s">
        <v>26</v>
      </c>
      <c r="E40" s="166" t="s">
        <v>27</v>
      </c>
      <c r="F40" s="167">
        <v>15</v>
      </c>
      <c r="G40" s="168"/>
      <c r="H40" s="169"/>
      <c r="I40" s="102"/>
    </row>
    <row r="41" spans="1:9" ht="15.75" x14ac:dyDescent="0.25">
      <c r="A41" s="170" t="s">
        <v>178</v>
      </c>
      <c r="B41" s="171">
        <f>(G15*5)/44</f>
        <v>0.54886363636363633</v>
      </c>
      <c r="C41" s="172"/>
      <c r="D41" s="165" t="s">
        <v>87</v>
      </c>
      <c r="E41" s="166" t="s">
        <v>27</v>
      </c>
      <c r="F41" s="173">
        <v>15</v>
      </c>
      <c r="G41" s="169"/>
      <c r="H41" s="169"/>
      <c r="I41" s="102"/>
    </row>
    <row r="42" spans="1:9" ht="15" x14ac:dyDescent="0.2">
      <c r="A42" s="102"/>
      <c r="B42" s="102"/>
      <c r="C42" s="102"/>
      <c r="D42" s="165" t="s">
        <v>179</v>
      </c>
      <c r="E42" s="166" t="s">
        <v>0</v>
      </c>
      <c r="F42" s="174">
        <f>[1]Depreciação!B17</f>
        <v>70.73</v>
      </c>
      <c r="G42" s="169">
        <f>H39</f>
        <v>178900</v>
      </c>
      <c r="H42" s="169">
        <f>F42*G42/100</f>
        <v>126535.97</v>
      </c>
      <c r="I42" s="102"/>
    </row>
    <row r="43" spans="1:9" ht="16.5" thickBot="1" x14ac:dyDescent="0.25">
      <c r="A43" s="132"/>
      <c r="B43" s="132"/>
      <c r="C43" s="132"/>
      <c r="D43" s="175" t="s">
        <v>180</v>
      </c>
      <c r="E43" s="176" t="s">
        <v>1</v>
      </c>
      <c r="F43" s="177">
        <f>F40*12</f>
        <v>180</v>
      </c>
      <c r="G43" s="178">
        <f>IF(F41&lt;=F40,H42,0)</f>
        <v>126535.97</v>
      </c>
      <c r="H43" s="178">
        <f>IFERROR(G43/F43,0)*12</f>
        <v>8435.7313333333332</v>
      </c>
      <c r="I43" s="102"/>
    </row>
    <row r="44" spans="1:9" ht="15.75" thickTop="1" x14ac:dyDescent="0.2">
      <c r="A44" s="131"/>
      <c r="B44" s="138"/>
      <c r="C44" s="138"/>
      <c r="D44" s="109"/>
      <c r="E44" s="109"/>
      <c r="F44" s="102"/>
      <c r="G44" s="102"/>
      <c r="H44" s="102"/>
      <c r="I44" s="102"/>
    </row>
    <row r="45" spans="1:9" ht="15.75" x14ac:dyDescent="0.25">
      <c r="A45" s="313" t="s">
        <v>181</v>
      </c>
      <c r="B45" s="314"/>
      <c r="C45" s="314"/>
      <c r="D45" s="314"/>
      <c r="E45" s="314"/>
      <c r="F45" s="314"/>
      <c r="G45" s="315"/>
      <c r="H45" s="179">
        <f>($B$40+$B$28)</f>
        <v>4129.0096431183729</v>
      </c>
      <c r="I45" s="102"/>
    </row>
    <row r="46" spans="1:9" x14ac:dyDescent="0.2">
      <c r="A46" s="180"/>
      <c r="B46" s="180"/>
      <c r="C46" s="180"/>
      <c r="D46" s="180"/>
      <c r="E46" s="180"/>
      <c r="F46" s="181"/>
      <c r="G46" s="181"/>
      <c r="H46" s="181"/>
      <c r="I46" s="102"/>
    </row>
    <row r="47" spans="1:9" ht="16.5" thickBot="1" x14ac:dyDescent="0.3">
      <c r="A47" s="313" t="s">
        <v>182</v>
      </c>
      <c r="B47" s="314"/>
      <c r="C47" s="314"/>
      <c r="D47" s="314"/>
      <c r="E47" s="314"/>
      <c r="F47" s="314"/>
      <c r="G47" s="315"/>
      <c r="H47" s="181"/>
      <c r="I47" s="102"/>
    </row>
    <row r="48" spans="1:9" ht="16.5" thickBot="1" x14ac:dyDescent="0.25">
      <c r="A48" s="182" t="s">
        <v>10</v>
      </c>
      <c r="B48" s="183" t="s">
        <v>11</v>
      </c>
      <c r="C48" s="183"/>
      <c r="D48" s="183" t="s">
        <v>6</v>
      </c>
      <c r="E48" s="184" t="s">
        <v>93</v>
      </c>
      <c r="F48" s="184" t="s">
        <v>12</v>
      </c>
      <c r="G48" s="185" t="s">
        <v>183</v>
      </c>
      <c r="H48" s="102"/>
      <c r="I48" s="186"/>
    </row>
    <row r="49" spans="1:9" ht="16.5" thickBot="1" x14ac:dyDescent="0.25">
      <c r="A49" s="187" t="s">
        <v>4</v>
      </c>
      <c r="B49" s="188" t="s">
        <v>0</v>
      </c>
      <c r="C49" s="188"/>
      <c r="D49" s="189">
        <f>BDI!C21</f>
        <v>0.2712</v>
      </c>
      <c r="E49" s="164">
        <f>H45</f>
        <v>4129.0096431183729</v>
      </c>
      <c r="F49" s="164">
        <f>D49*E49/1</f>
        <v>1119.7874152137026</v>
      </c>
      <c r="G49" s="190"/>
      <c r="H49" s="109"/>
      <c r="I49" s="102"/>
    </row>
    <row r="50" spans="1:9" ht="16.5" thickBot="1" x14ac:dyDescent="0.25">
      <c r="A50" s="191" t="s">
        <v>184</v>
      </c>
      <c r="B50" s="192"/>
      <c r="C50" s="192"/>
      <c r="D50" s="191"/>
      <c r="E50" s="193"/>
      <c r="F50" s="194"/>
      <c r="G50" s="195">
        <f>+F49</f>
        <v>1119.7874152137026</v>
      </c>
      <c r="H50" s="109"/>
      <c r="I50" s="186"/>
    </row>
    <row r="51" spans="1:9" ht="15.75" thickBot="1" x14ac:dyDescent="0.25">
      <c r="A51" s="180"/>
      <c r="B51" s="180"/>
      <c r="C51" s="180"/>
      <c r="D51" s="196"/>
      <c r="E51" s="196"/>
      <c r="F51" s="190"/>
      <c r="G51" s="190"/>
      <c r="H51" s="190"/>
      <c r="I51" s="102"/>
    </row>
    <row r="52" spans="1:9" ht="16.5" thickBot="1" x14ac:dyDescent="0.25">
      <c r="A52" s="197" t="s">
        <v>185</v>
      </c>
      <c r="B52" s="198"/>
      <c r="C52" s="198"/>
      <c r="D52" s="199"/>
      <c r="E52" s="199"/>
      <c r="F52" s="200"/>
      <c r="G52" s="201"/>
      <c r="H52" s="202">
        <f>G50</f>
        <v>1119.7874152137026</v>
      </c>
      <c r="I52" s="102"/>
    </row>
    <row r="53" spans="1:9" ht="13.5" thickBot="1" x14ac:dyDescent="0.25">
      <c r="A53" s="180"/>
      <c r="B53" s="180"/>
      <c r="C53" s="180"/>
      <c r="D53" s="180"/>
      <c r="E53" s="180"/>
      <c r="F53" s="181"/>
      <c r="G53" s="181"/>
      <c r="H53" s="181"/>
      <c r="I53" s="102"/>
    </row>
    <row r="54" spans="1:9" ht="16.5" thickBot="1" x14ac:dyDescent="0.25">
      <c r="A54" s="197" t="s">
        <v>186</v>
      </c>
      <c r="B54" s="198"/>
      <c r="C54" s="198"/>
      <c r="D54" s="198"/>
      <c r="E54" s="198"/>
      <c r="F54" s="203"/>
      <c r="G54" s="204"/>
      <c r="H54" s="205">
        <f>H45+H52</f>
        <v>5248.7970583320757</v>
      </c>
      <c r="I54" s="102"/>
    </row>
    <row r="55" spans="1:9" ht="15.75" thickBot="1" x14ac:dyDescent="0.25">
      <c r="A55" s="131"/>
      <c r="B55" s="138"/>
      <c r="C55" s="138"/>
      <c r="D55" s="109"/>
      <c r="E55" s="109"/>
      <c r="F55" s="102"/>
      <c r="G55" s="102"/>
      <c r="H55" s="109"/>
      <c r="I55" s="102"/>
    </row>
    <row r="56" spans="1:9" ht="16.5" thickBot="1" x14ac:dyDescent="0.3">
      <c r="A56" s="206" t="s">
        <v>187</v>
      </c>
      <c r="B56" s="207"/>
      <c r="C56" s="207"/>
      <c r="D56" s="207"/>
      <c r="E56" s="207"/>
      <c r="F56" s="207"/>
      <c r="G56" s="207"/>
      <c r="H56" s="208">
        <f>H54/(G11*G22)</f>
        <v>4.0969853470185331</v>
      </c>
      <c r="I56" s="102"/>
    </row>
    <row r="57" spans="1:9" ht="15.75" thickBot="1" x14ac:dyDescent="0.25">
      <c r="A57" s="109"/>
      <c r="B57" s="109"/>
      <c r="C57" s="109"/>
      <c r="D57" s="109"/>
      <c r="E57" s="109"/>
      <c r="F57" s="109"/>
      <c r="G57" s="109"/>
      <c r="H57" s="109"/>
      <c r="I57" s="109"/>
    </row>
    <row r="58" spans="1:9" ht="18" x14ac:dyDescent="0.2">
      <c r="A58" s="316" t="s">
        <v>83</v>
      </c>
      <c r="B58" s="317"/>
      <c r="C58" s="317"/>
      <c r="D58" s="317"/>
      <c r="E58" s="317"/>
      <c r="F58" s="318"/>
      <c r="G58" s="319"/>
      <c r="H58" s="109"/>
      <c r="I58" s="109"/>
    </row>
    <row r="59" spans="1:9" ht="18" x14ac:dyDescent="0.2">
      <c r="A59" s="209" t="s">
        <v>82</v>
      </c>
      <c r="B59" s="210"/>
      <c r="C59" s="210"/>
      <c r="D59" s="210"/>
      <c r="E59" s="211"/>
      <c r="F59" s="212" t="s">
        <v>5</v>
      </c>
      <c r="G59" s="213" t="s">
        <v>0</v>
      </c>
      <c r="H59" s="109"/>
      <c r="I59" s="109"/>
    </row>
    <row r="60" spans="1:9" ht="18" x14ac:dyDescent="0.2">
      <c r="A60" s="214" t="str">
        <f>A24</f>
        <v>1- CUSTO VARIÁVEL</v>
      </c>
      <c r="B60" s="215"/>
      <c r="C60" s="215"/>
      <c r="D60" s="216"/>
      <c r="E60" s="217"/>
      <c r="F60" s="211">
        <f>SUM(F61:F62)</f>
        <v>1671.7406535111118</v>
      </c>
      <c r="G60" s="218">
        <f t="shared" ref="G60:G66" si="0">F60/$F$68</f>
        <v>0.31849976955335846</v>
      </c>
      <c r="H60" s="109"/>
      <c r="I60" s="109"/>
    </row>
    <row r="61" spans="1:9" ht="18" x14ac:dyDescent="0.2">
      <c r="A61" s="219" t="str">
        <f>A25</f>
        <v>1.1 COMBUSTÍVEL</v>
      </c>
      <c r="B61" s="220"/>
      <c r="C61" s="220"/>
      <c r="D61" s="210"/>
      <c r="E61" s="221"/>
      <c r="F61" s="221">
        <f>B25</f>
        <v>1044.8379084444448</v>
      </c>
      <c r="G61" s="222">
        <f t="shared" si="0"/>
        <v>0.19906235597084901</v>
      </c>
      <c r="H61" s="109"/>
      <c r="I61" s="109"/>
    </row>
    <row r="62" spans="1:9" ht="18" x14ac:dyDescent="0.2">
      <c r="A62" s="223" t="str">
        <f>A26</f>
        <v>1.2 MANUTENÇÃO</v>
      </c>
      <c r="B62" s="224"/>
      <c r="C62" s="224"/>
      <c r="D62" s="225"/>
      <c r="E62" s="226"/>
      <c r="F62" s="227">
        <f>B26</f>
        <v>626.90274506666685</v>
      </c>
      <c r="G62" s="222">
        <f t="shared" si="0"/>
        <v>0.11943741358250941</v>
      </c>
      <c r="H62" s="109"/>
      <c r="I62" s="109"/>
    </row>
    <row r="63" spans="1:9" ht="18" x14ac:dyDescent="0.2">
      <c r="A63" s="228" t="str">
        <f>A30</f>
        <v xml:space="preserve">2 - TOTAL CUSTO FIXO MENSAL </v>
      </c>
      <c r="B63" s="224"/>
      <c r="C63" s="224"/>
      <c r="D63" s="225"/>
      <c r="E63" s="226"/>
      <c r="F63" s="211">
        <f>SUM(F64)</f>
        <v>2457.2689896072611</v>
      </c>
      <c r="G63" s="218">
        <f t="shared" si="0"/>
        <v>0.46815850609170134</v>
      </c>
      <c r="H63" s="109"/>
      <c r="I63" s="109"/>
    </row>
    <row r="64" spans="1:9" ht="18" x14ac:dyDescent="0.2">
      <c r="A64" s="223" t="str">
        <f>A40</f>
        <v>2.1 TOTAL CUSTO FIXO MENSAL</v>
      </c>
      <c r="B64" s="224"/>
      <c r="C64" s="224"/>
      <c r="D64" s="225"/>
      <c r="E64" s="226"/>
      <c r="F64" s="221">
        <f>B40</f>
        <v>2457.2689896072611</v>
      </c>
      <c r="G64" s="222">
        <f>F64/$F$68</f>
        <v>0.46815850609170134</v>
      </c>
      <c r="H64" s="109"/>
      <c r="I64" s="109"/>
    </row>
    <row r="65" spans="1:9" ht="18" x14ac:dyDescent="0.2">
      <c r="A65" s="229" t="str">
        <f>A45</f>
        <v>3- CUSTO TOTAL MENSAL COM DESPESAS OPERACIONAIS</v>
      </c>
      <c r="B65" s="230"/>
      <c r="C65" s="230"/>
      <c r="D65" s="230"/>
      <c r="E65" s="231"/>
      <c r="F65" s="211">
        <f>F60+F63</f>
        <v>4129.0096431183729</v>
      </c>
      <c r="G65" s="218">
        <f t="shared" si="0"/>
        <v>0.78665827564505975</v>
      </c>
      <c r="H65" s="109"/>
      <c r="I65" s="109"/>
    </row>
    <row r="66" spans="1:9" ht="18" x14ac:dyDescent="0.2">
      <c r="A66" s="232" t="str">
        <f>A47</f>
        <v xml:space="preserve">4- BENEFÍCIOS E DESPESAS INDIRETAS </v>
      </c>
      <c r="B66" s="233"/>
      <c r="C66" s="233"/>
      <c r="D66" s="230"/>
      <c r="E66" s="211"/>
      <c r="F66" s="211">
        <f>H52</f>
        <v>1119.7874152137026</v>
      </c>
      <c r="G66" s="218">
        <f t="shared" si="0"/>
        <v>0.2133417243549402</v>
      </c>
      <c r="H66" s="109"/>
      <c r="I66" s="109"/>
    </row>
    <row r="67" spans="1:9" ht="18.75" thickBot="1" x14ac:dyDescent="0.25">
      <c r="A67" s="234"/>
      <c r="B67" s="235"/>
      <c r="C67" s="235"/>
      <c r="D67" s="236"/>
      <c r="E67" s="237"/>
      <c r="F67" s="238"/>
      <c r="G67" s="239"/>
      <c r="H67" s="109"/>
      <c r="I67" s="109"/>
    </row>
    <row r="68" spans="1:9" ht="18.75" thickBot="1" x14ac:dyDescent="0.25">
      <c r="A68" s="240" t="str">
        <f>A54</f>
        <v xml:space="preserve">5- PREÇO MENSAL TOTAL COM O TRANSPORTE ESCOLAR </v>
      </c>
      <c r="B68" s="241"/>
      <c r="C68" s="241"/>
      <c r="D68" s="242"/>
      <c r="E68" s="242"/>
      <c r="F68" s="242">
        <f>F65+F66</f>
        <v>5248.7970583320757</v>
      </c>
      <c r="G68" s="243">
        <f>G65+G66</f>
        <v>1</v>
      </c>
      <c r="H68" s="109"/>
      <c r="I68" s="109"/>
    </row>
    <row r="69" spans="1:9" ht="18" x14ac:dyDescent="0.25">
      <c r="A69" s="244"/>
      <c r="B69" s="245"/>
      <c r="C69" s="245"/>
      <c r="D69" s="245"/>
      <c r="E69" s="245"/>
      <c r="F69" s="245"/>
      <c r="G69" s="246"/>
      <c r="H69" s="109"/>
      <c r="I69" s="109"/>
    </row>
    <row r="70" spans="1:9" ht="18" x14ac:dyDescent="0.25">
      <c r="A70" s="247" t="s">
        <v>188</v>
      </c>
      <c r="B70" s="248"/>
      <c r="C70" s="248"/>
      <c r="D70" s="248"/>
      <c r="E70" s="248"/>
      <c r="F70" s="248"/>
      <c r="G70" s="249">
        <f>G11</f>
        <v>64.056820000000016</v>
      </c>
      <c r="H70" s="109"/>
      <c r="I70" s="109"/>
    </row>
    <row r="71" spans="1:9" ht="18" x14ac:dyDescent="0.25">
      <c r="A71" s="247" t="s">
        <v>189</v>
      </c>
      <c r="B71" s="248"/>
      <c r="C71" s="248"/>
      <c r="D71" s="248"/>
      <c r="E71" s="248"/>
      <c r="F71" s="248"/>
      <c r="G71" s="250">
        <f>G22</f>
        <v>20</v>
      </c>
      <c r="H71" s="109"/>
      <c r="I71" s="109"/>
    </row>
    <row r="72" spans="1:9" ht="18" x14ac:dyDescent="0.25">
      <c r="A72" s="247" t="s">
        <v>190</v>
      </c>
      <c r="B72" s="248"/>
      <c r="C72" s="248"/>
      <c r="D72" s="248"/>
      <c r="E72" s="248"/>
      <c r="F72" s="248"/>
      <c r="G72" s="249">
        <f>G70*G71</f>
        <v>1281.1364000000003</v>
      </c>
      <c r="H72" s="109"/>
      <c r="I72" s="109"/>
    </row>
    <row r="73" spans="1:9" ht="18.75" thickBot="1" x14ac:dyDescent="0.3">
      <c r="A73" s="251" t="s">
        <v>191</v>
      </c>
      <c r="B73" s="252"/>
      <c r="C73" s="252"/>
      <c r="D73" s="252"/>
      <c r="E73" s="252"/>
      <c r="F73" s="252"/>
      <c r="G73" s="253">
        <f>F68/G72</f>
        <v>4.0969853470185331</v>
      </c>
      <c r="H73" s="109"/>
      <c r="I73" s="109"/>
    </row>
    <row r="74" spans="1:9" ht="15" x14ac:dyDescent="0.2">
      <c r="A74" s="109"/>
      <c r="B74" s="109"/>
      <c r="C74" s="109"/>
      <c r="D74" s="109"/>
      <c r="E74" s="109"/>
      <c r="F74" s="109"/>
      <c r="G74" s="109"/>
      <c r="H74" s="109"/>
      <c r="I74" s="109"/>
    </row>
    <row r="75" spans="1:9" ht="18" x14ac:dyDescent="0.25">
      <c r="A75" s="254" t="s">
        <v>284</v>
      </c>
      <c r="B75" s="109"/>
      <c r="C75" s="109"/>
      <c r="D75" s="109"/>
      <c r="E75" s="109"/>
      <c r="F75" s="109"/>
      <c r="G75" s="109"/>
      <c r="H75" s="109"/>
      <c r="I75" s="109"/>
    </row>
    <row r="76" spans="1:9" ht="15.75" x14ac:dyDescent="0.25">
      <c r="A76" s="255" t="s">
        <v>260</v>
      </c>
      <c r="B76" s="109"/>
      <c r="C76" s="109"/>
      <c r="D76" s="109"/>
      <c r="E76" s="109"/>
      <c r="F76" s="109"/>
      <c r="G76" s="109"/>
      <c r="H76" s="109"/>
      <c r="I76" s="109"/>
    </row>
    <row r="77" spans="1:9" ht="15.75" x14ac:dyDescent="0.25">
      <c r="A77" s="255"/>
      <c r="B77" s="109"/>
      <c r="C77" s="109"/>
      <c r="D77" s="109"/>
      <c r="E77" s="109"/>
      <c r="F77" s="109"/>
      <c r="G77" s="109"/>
      <c r="H77" s="109"/>
      <c r="I77" s="109"/>
    </row>
    <row r="78" spans="1:9" ht="15.75" x14ac:dyDescent="0.25">
      <c r="A78" s="255" t="s">
        <v>192</v>
      </c>
      <c r="B78" s="256">
        <f>G11</f>
        <v>64.056820000000016</v>
      </c>
      <c r="C78" s="256"/>
      <c r="D78" s="257" t="s">
        <v>193</v>
      </c>
      <c r="E78" s="109"/>
      <c r="F78" s="109"/>
      <c r="G78" s="109"/>
      <c r="H78" s="109"/>
      <c r="I78" s="109"/>
    </row>
    <row r="79" spans="1:9" ht="15.75" x14ac:dyDescent="0.25">
      <c r="A79" s="255" t="s">
        <v>278</v>
      </c>
      <c r="B79" s="257"/>
      <c r="C79" s="257"/>
      <c r="D79" s="257"/>
      <c r="E79" s="109"/>
      <c r="F79" s="109"/>
      <c r="G79" s="109"/>
      <c r="H79" s="109"/>
      <c r="I79" s="109"/>
    </row>
    <row r="80" spans="1:9" ht="15.75" x14ac:dyDescent="0.25">
      <c r="A80" s="255" t="s">
        <v>194</v>
      </c>
      <c r="B80" s="258"/>
      <c r="C80" s="258"/>
      <c r="D80" s="259">
        <f>H56</f>
        <v>4.0969853470185331</v>
      </c>
      <c r="E80" s="260"/>
      <c r="F80" s="309"/>
      <c r="G80" s="309"/>
      <c r="H80" s="309"/>
      <c r="I80" s="109"/>
    </row>
    <row r="81" spans="1:9" ht="15.75" x14ac:dyDescent="0.25">
      <c r="A81" s="255"/>
      <c r="B81" s="102"/>
      <c r="C81" s="102"/>
      <c r="D81" s="102"/>
      <c r="E81" s="102"/>
      <c r="F81" s="309"/>
      <c r="G81" s="309"/>
      <c r="H81" s="309"/>
      <c r="I81" s="109"/>
    </row>
    <row r="82" spans="1:9" ht="18" x14ac:dyDescent="0.25">
      <c r="A82" s="261" t="s">
        <v>195</v>
      </c>
      <c r="B82" s="102"/>
      <c r="C82" s="102"/>
      <c r="D82" s="102"/>
      <c r="E82" s="102"/>
      <c r="F82" s="102"/>
      <c r="G82" s="102"/>
      <c r="H82" s="102"/>
      <c r="I82" s="109"/>
    </row>
    <row r="83" spans="1:9" ht="18" x14ac:dyDescent="0.25">
      <c r="A83" s="262"/>
      <c r="B83" s="262"/>
      <c r="C83" s="262"/>
      <c r="D83" s="262"/>
      <c r="E83" s="262"/>
      <c r="F83" s="262"/>
      <c r="G83" s="262"/>
      <c r="H83" s="262"/>
      <c r="I83" s="102"/>
    </row>
    <row r="84" spans="1:9" ht="18" x14ac:dyDescent="0.25">
      <c r="A84" s="262" t="s">
        <v>196</v>
      </c>
      <c r="B84" s="262"/>
      <c r="C84" s="262"/>
      <c r="D84" s="262"/>
      <c r="E84" s="262"/>
      <c r="F84" s="262"/>
      <c r="G84" s="262"/>
      <c r="H84" s="262"/>
      <c r="I84" s="102"/>
    </row>
    <row r="85" spans="1:9" ht="18" x14ac:dyDescent="0.25">
      <c r="A85" s="262" t="s">
        <v>197</v>
      </c>
      <c r="B85" s="262"/>
      <c r="C85" s="262"/>
      <c r="D85" s="262"/>
      <c r="E85" s="262"/>
      <c r="F85" s="262"/>
      <c r="G85" s="262"/>
      <c r="H85" s="262"/>
      <c r="I85" s="102"/>
    </row>
    <row r="86" spans="1:9" ht="18" x14ac:dyDescent="0.25">
      <c r="A86" s="262" t="s">
        <v>198</v>
      </c>
      <c r="B86" s="262"/>
      <c r="C86" s="262"/>
      <c r="D86" s="262"/>
      <c r="E86" s="262"/>
      <c r="F86" s="262"/>
      <c r="G86" s="262"/>
      <c r="H86" s="262"/>
      <c r="I86" s="102"/>
    </row>
    <row r="87" spans="1:9" ht="18" x14ac:dyDescent="0.25">
      <c r="A87" s="262" t="s">
        <v>199</v>
      </c>
      <c r="B87" s="262"/>
      <c r="C87" s="262"/>
      <c r="D87" s="262"/>
      <c r="E87" s="262"/>
      <c r="F87" s="262"/>
      <c r="G87" s="262"/>
      <c r="H87" s="262"/>
      <c r="I87" s="102"/>
    </row>
    <row r="88" spans="1:9" ht="18" x14ac:dyDescent="0.25">
      <c r="A88" s="262" t="s">
        <v>200</v>
      </c>
      <c r="B88" s="262"/>
      <c r="C88" s="262"/>
      <c r="D88" s="262"/>
      <c r="E88" s="262"/>
      <c r="F88" s="262"/>
      <c r="G88" s="262"/>
      <c r="H88" s="262"/>
      <c r="I88" s="102"/>
    </row>
    <row r="89" spans="1:9" ht="18" x14ac:dyDescent="0.25">
      <c r="A89" s="262" t="s">
        <v>281</v>
      </c>
      <c r="B89" s="262" t="str">
        <f>B17</f>
        <v>Veículo no mínimo de 28 lugares</v>
      </c>
      <c r="C89" s="262"/>
      <c r="D89" s="262"/>
      <c r="E89" s="262"/>
      <c r="F89" s="262"/>
      <c r="G89" s="262"/>
      <c r="H89" s="262"/>
      <c r="I89" s="102"/>
    </row>
    <row r="90" spans="1:9" ht="18" x14ac:dyDescent="0.25">
      <c r="A90" s="262" t="s">
        <v>201</v>
      </c>
      <c r="B90" s="262"/>
      <c r="C90" s="262"/>
      <c r="D90" s="262"/>
      <c r="E90" s="262"/>
      <c r="F90" s="262"/>
      <c r="G90" s="262"/>
      <c r="H90" s="262"/>
      <c r="I90" s="102"/>
    </row>
    <row r="91" spans="1:9" ht="18" x14ac:dyDescent="0.25">
      <c r="A91" s="262" t="s">
        <v>202</v>
      </c>
      <c r="B91" s="262" t="str">
        <f>A18</f>
        <v>Veículo no máximo 15 anos de uso (fabricação acima de 2004)</v>
      </c>
      <c r="C91" s="262"/>
      <c r="D91" s="262"/>
      <c r="E91" s="262"/>
      <c r="F91" s="262"/>
      <c r="G91" s="262"/>
      <c r="H91" s="262"/>
      <c r="I91" s="102"/>
    </row>
    <row r="92" spans="1:9" ht="18" x14ac:dyDescent="0.25">
      <c r="A92" s="262" t="s">
        <v>203</v>
      </c>
      <c r="B92" s="262"/>
      <c r="C92" s="262"/>
      <c r="D92" s="262"/>
      <c r="E92" s="262"/>
      <c r="F92" s="262"/>
      <c r="G92" s="262"/>
      <c r="H92" s="262"/>
      <c r="I92" s="102"/>
    </row>
    <row r="93" spans="1:9" ht="18" x14ac:dyDescent="0.25">
      <c r="A93" s="262" t="s">
        <v>266</v>
      </c>
      <c r="B93" s="262"/>
      <c r="C93" s="262"/>
      <c r="D93" s="262"/>
      <c r="E93" s="262"/>
      <c r="F93" s="262"/>
      <c r="G93" s="262"/>
      <c r="H93" s="262"/>
      <c r="I93" s="102"/>
    </row>
    <row r="94" spans="1:9" ht="18" x14ac:dyDescent="0.25">
      <c r="A94" s="262" t="s">
        <v>276</v>
      </c>
      <c r="B94" s="262"/>
      <c r="C94" s="262"/>
      <c r="D94" s="262"/>
      <c r="E94" s="262"/>
      <c r="F94" s="262"/>
      <c r="G94" s="262"/>
      <c r="H94" s="262"/>
      <c r="I94" s="102"/>
    </row>
    <row r="95" spans="1:9" ht="18" x14ac:dyDescent="0.25">
      <c r="A95" s="262" t="s">
        <v>204</v>
      </c>
      <c r="B95" s="262"/>
      <c r="C95" s="262"/>
      <c r="D95" s="262"/>
      <c r="E95" s="262"/>
      <c r="F95" s="262"/>
      <c r="G95" s="262"/>
      <c r="H95" s="262"/>
      <c r="I95" s="102"/>
    </row>
    <row r="96" spans="1:9" ht="18" x14ac:dyDescent="0.25">
      <c r="A96" s="262" t="s">
        <v>205</v>
      </c>
      <c r="B96" s="262"/>
      <c r="C96" s="262"/>
      <c r="D96" s="262"/>
      <c r="E96" s="262"/>
      <c r="F96" s="262"/>
      <c r="G96" s="262"/>
      <c r="H96" s="262"/>
      <c r="I96" s="102"/>
    </row>
    <row r="97" spans="1:9" ht="18" x14ac:dyDescent="0.25">
      <c r="A97" s="262" t="s">
        <v>261</v>
      </c>
      <c r="B97" s="262"/>
      <c r="C97" s="262"/>
      <c r="D97" s="262"/>
      <c r="E97" s="262"/>
      <c r="F97" s="262"/>
      <c r="G97" s="262"/>
      <c r="H97" s="262"/>
      <c r="I97" s="102"/>
    </row>
    <row r="98" spans="1:9" ht="18" x14ac:dyDescent="0.25">
      <c r="A98" s="262" t="s">
        <v>206</v>
      </c>
      <c r="B98" s="262"/>
      <c r="C98" s="262"/>
      <c r="D98" s="262"/>
      <c r="E98" s="262"/>
      <c r="F98" s="262"/>
      <c r="G98" s="262"/>
      <c r="H98" s="262"/>
      <c r="I98" s="102"/>
    </row>
    <row r="99" spans="1:9" ht="18" x14ac:dyDescent="0.25">
      <c r="A99" s="262" t="s">
        <v>207</v>
      </c>
      <c r="B99" s="262"/>
      <c r="C99" s="262"/>
      <c r="D99" s="262"/>
      <c r="E99" s="262"/>
      <c r="F99" s="262"/>
      <c r="G99" s="262"/>
      <c r="H99" s="262"/>
      <c r="I99" s="102"/>
    </row>
    <row r="100" spans="1:9" ht="18" x14ac:dyDescent="0.25">
      <c r="A100" s="262" t="s">
        <v>208</v>
      </c>
      <c r="B100" s="262"/>
      <c r="C100" s="262"/>
      <c r="D100" s="262"/>
      <c r="E100" s="262"/>
      <c r="F100" s="262"/>
      <c r="G100" s="262"/>
      <c r="H100" s="262"/>
      <c r="I100" s="102"/>
    </row>
    <row r="101" spans="1:9" ht="18" x14ac:dyDescent="0.25">
      <c r="A101" s="262" t="s">
        <v>209</v>
      </c>
      <c r="B101" s="262"/>
      <c r="C101" s="262"/>
      <c r="D101" s="262"/>
      <c r="E101" s="262"/>
      <c r="F101" s="262"/>
      <c r="G101" s="262"/>
      <c r="H101" s="262"/>
      <c r="I101" s="102"/>
    </row>
    <row r="102" spans="1:9" ht="18" x14ac:dyDescent="0.25">
      <c r="A102" s="262" t="s">
        <v>210</v>
      </c>
      <c r="B102" s="262"/>
      <c r="C102" s="262"/>
      <c r="D102" s="262"/>
      <c r="E102" s="262"/>
      <c r="F102" s="262"/>
      <c r="G102" s="262"/>
      <c r="H102" s="262"/>
      <c r="I102" s="102"/>
    </row>
    <row r="103" spans="1:9" ht="18" x14ac:dyDescent="0.25">
      <c r="A103" s="262" t="s">
        <v>211</v>
      </c>
      <c r="B103" s="262"/>
      <c r="C103" s="262"/>
      <c r="D103" s="262"/>
      <c r="E103" s="262"/>
      <c r="F103" s="262"/>
      <c r="G103" s="262"/>
      <c r="H103" s="262"/>
      <c r="I103" s="102"/>
    </row>
    <row r="104" spans="1:9" ht="18" x14ac:dyDescent="0.25">
      <c r="A104" s="262" t="s">
        <v>212</v>
      </c>
      <c r="B104" s="262"/>
      <c r="C104" s="262"/>
      <c r="D104" s="262"/>
      <c r="E104" s="262"/>
      <c r="F104" s="262"/>
      <c r="G104" s="263"/>
      <c r="H104" s="262"/>
      <c r="I104" s="102"/>
    </row>
    <row r="105" spans="1:9" ht="18" x14ac:dyDescent="0.25">
      <c r="A105" s="262" t="s">
        <v>213</v>
      </c>
      <c r="B105" s="262"/>
      <c r="C105" s="262"/>
      <c r="D105" s="262"/>
      <c r="E105" s="262"/>
      <c r="F105" s="262"/>
      <c r="G105" s="262"/>
      <c r="H105" s="262"/>
      <c r="I105" s="102"/>
    </row>
    <row r="106" spans="1:9" ht="18" x14ac:dyDescent="0.25">
      <c r="A106" s="262" t="s">
        <v>214</v>
      </c>
      <c r="B106" s="262"/>
      <c r="C106" s="262"/>
      <c r="D106" s="262"/>
      <c r="E106" s="262"/>
      <c r="F106" s="262"/>
      <c r="G106" s="262"/>
      <c r="H106" s="262"/>
      <c r="I106" s="102"/>
    </row>
    <row r="107" spans="1:9" ht="18" x14ac:dyDescent="0.25">
      <c r="A107" s="262" t="s">
        <v>215</v>
      </c>
      <c r="B107" s="262"/>
      <c r="C107" s="262"/>
      <c r="D107" s="262"/>
      <c r="E107" s="262"/>
      <c r="F107" s="262"/>
      <c r="G107" s="262"/>
      <c r="H107" s="262"/>
      <c r="I107" s="102"/>
    </row>
    <row r="108" spans="1:9" ht="18" x14ac:dyDescent="0.25">
      <c r="A108" s="262" t="s">
        <v>262</v>
      </c>
      <c r="B108" s="262"/>
      <c r="C108" s="262"/>
      <c r="D108" s="262"/>
      <c r="E108" s="262"/>
      <c r="F108" s="262"/>
      <c r="G108" s="262"/>
      <c r="H108" s="262"/>
      <c r="I108" s="102"/>
    </row>
    <row r="109" spans="1:9" ht="18" x14ac:dyDescent="0.25">
      <c r="A109" s="262" t="s">
        <v>263</v>
      </c>
      <c r="B109" s="262"/>
      <c r="C109" s="262"/>
      <c r="D109" s="262"/>
      <c r="E109" s="262"/>
      <c r="F109" s="262"/>
      <c r="G109" s="262"/>
      <c r="H109" s="262"/>
      <c r="I109" s="102"/>
    </row>
    <row r="110" spans="1:9" ht="18" x14ac:dyDescent="0.25">
      <c r="A110" s="262" t="s">
        <v>216</v>
      </c>
      <c r="B110" s="262"/>
      <c r="C110" s="262"/>
      <c r="D110" s="262"/>
      <c r="E110" s="262"/>
      <c r="F110" s="262"/>
      <c r="G110" s="262"/>
      <c r="H110" s="262"/>
      <c r="I110" s="102"/>
    </row>
    <row r="111" spans="1:9" ht="18" x14ac:dyDescent="0.25">
      <c r="A111" s="262" t="s">
        <v>217</v>
      </c>
      <c r="B111" s="262"/>
      <c r="C111" s="262"/>
      <c r="D111" s="262"/>
      <c r="E111" s="262"/>
      <c r="F111" s="262"/>
      <c r="G111" s="262"/>
      <c r="H111" s="262"/>
      <c r="I111" s="102"/>
    </row>
    <row r="112" spans="1:9" ht="18" x14ac:dyDescent="0.25">
      <c r="A112" s="262" t="s">
        <v>218</v>
      </c>
      <c r="B112" s="262"/>
      <c r="C112" s="262"/>
      <c r="D112" s="262"/>
      <c r="E112" s="262"/>
      <c r="F112" s="262"/>
      <c r="G112" s="262"/>
      <c r="H112" s="262"/>
      <c r="I112" s="102"/>
    </row>
    <row r="113" spans="1:9" ht="18" x14ac:dyDescent="0.25">
      <c r="A113" s="262" t="s">
        <v>219</v>
      </c>
      <c r="B113" s="262"/>
      <c r="C113" s="262"/>
      <c r="D113" s="262"/>
      <c r="E113" s="262"/>
      <c r="F113" s="262"/>
      <c r="G113" s="262"/>
      <c r="H113" s="262"/>
      <c r="I113" s="102"/>
    </row>
    <row r="114" spans="1:9" ht="18" x14ac:dyDescent="0.25">
      <c r="A114" s="262" t="s">
        <v>220</v>
      </c>
      <c r="B114" s="262"/>
      <c r="C114" s="262"/>
      <c r="D114" s="262"/>
      <c r="E114" s="262"/>
      <c r="F114" s="262"/>
      <c r="G114" s="262"/>
      <c r="H114" s="262"/>
      <c r="I114" s="102"/>
    </row>
    <row r="115" spans="1:9" ht="18" x14ac:dyDescent="0.25">
      <c r="A115" s="262" t="s">
        <v>221</v>
      </c>
      <c r="B115" s="262"/>
      <c r="C115" s="262"/>
      <c r="D115" s="262"/>
      <c r="E115" s="262"/>
      <c r="F115" s="262"/>
      <c r="G115" s="262"/>
      <c r="H115" s="262"/>
      <c r="I115" s="102"/>
    </row>
    <row r="116" spans="1:9" ht="18" x14ac:dyDescent="0.25">
      <c r="A116" s="262" t="s">
        <v>222</v>
      </c>
      <c r="B116" s="262"/>
      <c r="C116" s="262"/>
      <c r="D116" s="262"/>
      <c r="E116" s="262"/>
      <c r="F116" s="262"/>
      <c r="G116" s="262"/>
      <c r="H116" s="262"/>
      <c r="I116" s="102"/>
    </row>
    <row r="117" spans="1:9" ht="18" x14ac:dyDescent="0.25">
      <c r="A117" s="262" t="s">
        <v>223</v>
      </c>
      <c r="B117" s="262"/>
      <c r="C117" s="262"/>
      <c r="D117" s="262"/>
      <c r="E117" s="262"/>
      <c r="F117" s="262"/>
      <c r="G117" s="262"/>
      <c r="H117" s="262"/>
      <c r="I117" s="102"/>
    </row>
    <row r="118" spans="1:9" ht="18" x14ac:dyDescent="0.25">
      <c r="A118" s="262" t="s">
        <v>271</v>
      </c>
      <c r="B118" s="262"/>
      <c r="C118" s="262"/>
      <c r="D118" s="262"/>
      <c r="E118" s="262"/>
      <c r="F118" s="262"/>
      <c r="G118" s="262"/>
      <c r="H118" s="262"/>
      <c r="I118" s="102"/>
    </row>
    <row r="119" spans="1:9" ht="18" x14ac:dyDescent="0.25">
      <c r="A119" s="262" t="s">
        <v>224</v>
      </c>
      <c r="B119" s="102"/>
      <c r="C119" s="102"/>
      <c r="D119" s="102"/>
      <c r="E119" s="102"/>
      <c r="F119" s="102"/>
      <c r="G119" s="102"/>
      <c r="H119" s="102"/>
      <c r="I119" s="102"/>
    </row>
    <row r="120" spans="1:9" ht="18" x14ac:dyDescent="0.25">
      <c r="A120" s="262" t="s">
        <v>225</v>
      </c>
      <c r="B120" s="102"/>
      <c r="C120" s="102"/>
      <c r="D120" s="102"/>
      <c r="E120" s="102"/>
      <c r="F120" s="102"/>
      <c r="G120" s="102"/>
      <c r="H120" s="102"/>
      <c r="I120" s="102"/>
    </row>
    <row r="121" spans="1:9" ht="18" x14ac:dyDescent="0.25">
      <c r="A121" s="262" t="s">
        <v>265</v>
      </c>
      <c r="B121" s="102"/>
      <c r="C121" s="102"/>
      <c r="D121" s="102"/>
      <c r="E121" s="102"/>
      <c r="F121" s="102"/>
      <c r="G121" s="102"/>
      <c r="H121" s="102"/>
      <c r="I121" s="102"/>
    </row>
    <row r="122" spans="1:9" ht="18" x14ac:dyDescent="0.25">
      <c r="A122" s="262" t="s">
        <v>226</v>
      </c>
      <c r="B122" s="102"/>
      <c r="C122" s="102"/>
      <c r="D122" s="102"/>
      <c r="E122" s="102"/>
      <c r="F122" s="102"/>
      <c r="G122" s="102"/>
      <c r="H122" s="102"/>
      <c r="I122" s="102"/>
    </row>
    <row r="123" spans="1:9" ht="18" x14ac:dyDescent="0.25">
      <c r="A123" s="262" t="s">
        <v>227</v>
      </c>
      <c r="B123" s="102"/>
      <c r="C123" s="102"/>
      <c r="D123" s="102"/>
      <c r="E123" s="102"/>
      <c r="F123" s="102"/>
      <c r="G123" s="102"/>
      <c r="H123" s="102"/>
      <c r="I123" s="102"/>
    </row>
    <row r="124" spans="1:9" ht="18" x14ac:dyDescent="0.25">
      <c r="A124" s="262" t="s">
        <v>228</v>
      </c>
      <c r="B124" s="102"/>
      <c r="C124" s="102"/>
      <c r="D124" s="102"/>
      <c r="E124" s="102"/>
      <c r="F124" s="102"/>
      <c r="G124" s="102"/>
      <c r="H124" s="102"/>
      <c r="I124" s="102"/>
    </row>
    <row r="125" spans="1:9" ht="18" x14ac:dyDescent="0.25">
      <c r="A125" s="262" t="s">
        <v>229</v>
      </c>
      <c r="B125" s="102"/>
      <c r="C125" s="102"/>
      <c r="D125" s="102"/>
      <c r="E125" s="102"/>
      <c r="F125" s="102"/>
      <c r="G125" s="102"/>
      <c r="H125" s="102"/>
      <c r="I125" s="102"/>
    </row>
    <row r="126" spans="1:9" ht="18" x14ac:dyDescent="0.25">
      <c r="A126" s="262" t="s">
        <v>230</v>
      </c>
      <c r="B126" s="102"/>
      <c r="C126" s="102"/>
      <c r="D126" s="102"/>
      <c r="E126" s="102"/>
      <c r="F126" s="102"/>
      <c r="G126" s="102"/>
      <c r="H126" s="102"/>
      <c r="I126" s="102"/>
    </row>
    <row r="127" spans="1:9" ht="18" x14ac:dyDescent="0.25">
      <c r="A127" s="262" t="s">
        <v>231</v>
      </c>
      <c r="B127" s="102"/>
      <c r="C127" s="102"/>
      <c r="D127" s="102"/>
      <c r="E127" s="102"/>
      <c r="F127" s="102"/>
      <c r="G127" s="102"/>
      <c r="H127" s="102"/>
      <c r="I127" s="102"/>
    </row>
    <row r="128" spans="1:9" ht="16.5" x14ac:dyDescent="0.25">
      <c r="A128" s="264"/>
      <c r="B128" s="102"/>
      <c r="C128" s="102"/>
      <c r="D128" s="102"/>
      <c r="E128" s="102"/>
      <c r="F128" s="102"/>
      <c r="G128" s="102"/>
      <c r="H128" s="102"/>
      <c r="I128" s="102"/>
    </row>
    <row r="129" spans="1:9" ht="18" x14ac:dyDescent="0.25">
      <c r="A129" s="262" t="s">
        <v>283</v>
      </c>
      <c r="B129" s="102"/>
      <c r="C129" s="102"/>
      <c r="D129" s="102"/>
      <c r="E129" s="102"/>
      <c r="F129" s="102"/>
      <c r="G129" s="102"/>
      <c r="H129" s="102"/>
      <c r="I129" s="102"/>
    </row>
    <row r="130" spans="1:9" ht="18" x14ac:dyDescent="0.25">
      <c r="A130" s="262"/>
      <c r="B130" s="102"/>
      <c r="C130" s="102"/>
      <c r="D130" s="102"/>
      <c r="E130" s="102"/>
      <c r="F130" s="102"/>
      <c r="G130" s="102"/>
      <c r="H130" s="102"/>
      <c r="I130" s="102"/>
    </row>
    <row r="131" spans="1:9" ht="18" x14ac:dyDescent="0.25">
      <c r="A131" s="262"/>
      <c r="B131" s="102"/>
      <c r="C131" s="102"/>
      <c r="D131" s="102"/>
      <c r="E131" s="102"/>
      <c r="F131" s="102"/>
      <c r="G131" s="102"/>
      <c r="H131" s="102"/>
      <c r="I131" s="102"/>
    </row>
    <row r="132" spans="1:9" ht="18" x14ac:dyDescent="0.25">
      <c r="A132" s="262" t="s">
        <v>232</v>
      </c>
      <c r="B132" s="102"/>
      <c r="C132" s="102"/>
      <c r="D132" s="102"/>
      <c r="E132" s="102"/>
      <c r="F132" s="102"/>
      <c r="G132" s="102"/>
      <c r="H132" s="102"/>
      <c r="I132" s="102"/>
    </row>
    <row r="133" spans="1:9" x14ac:dyDescent="0.2">
      <c r="A133" s="102"/>
      <c r="B133" s="102"/>
      <c r="C133" s="102"/>
      <c r="D133" s="102"/>
      <c r="E133" s="102"/>
      <c r="F133" s="102"/>
      <c r="G133" s="102"/>
      <c r="H133" s="102"/>
      <c r="I133" s="102"/>
    </row>
    <row r="134" spans="1:9" x14ac:dyDescent="0.2">
      <c r="A134" s="102"/>
      <c r="B134" s="102"/>
      <c r="C134" s="102"/>
      <c r="D134" s="102"/>
      <c r="E134" s="102"/>
      <c r="F134" s="102"/>
      <c r="G134" s="102"/>
      <c r="H134" s="102"/>
      <c r="I134" s="102"/>
    </row>
    <row r="135" spans="1:9" x14ac:dyDescent="0.2">
      <c r="A135" s="102"/>
      <c r="B135" s="102"/>
      <c r="C135" s="102"/>
      <c r="D135" s="102"/>
      <c r="E135" s="102"/>
      <c r="F135" s="102"/>
      <c r="G135" s="102"/>
      <c r="H135" s="102"/>
      <c r="I135" s="102"/>
    </row>
  </sheetData>
  <mergeCells count="19">
    <mergeCell ref="F80:H81"/>
    <mergeCell ref="A21:F21"/>
    <mergeCell ref="A22:F22"/>
    <mergeCell ref="A30:H30"/>
    <mergeCell ref="A45:G45"/>
    <mergeCell ref="A47:G47"/>
    <mergeCell ref="A58:G58"/>
    <mergeCell ref="A20:F20"/>
    <mergeCell ref="A1:H1"/>
    <mergeCell ref="A2:H2"/>
    <mergeCell ref="A3:H3"/>
    <mergeCell ref="A4:H4"/>
    <mergeCell ref="A11:F11"/>
    <mergeCell ref="A14:F14"/>
    <mergeCell ref="A15:F15"/>
    <mergeCell ref="A16:F16"/>
    <mergeCell ref="B17:G17"/>
    <mergeCell ref="A18:F18"/>
    <mergeCell ref="A19:F19"/>
  </mergeCells>
  <pageMargins left="0.51181102362204722" right="0.51181102362204722" top="0.78740157480314965" bottom="0.78740157480314965" header="0.31496062992125984" footer="0.31496062992125984"/>
  <pageSetup paperSize="9" scale="63" fitToHeight="2" orientation="portrait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5"/>
  <sheetViews>
    <sheetView workbookViewId="0">
      <selection sqref="A1:H1"/>
    </sheetView>
  </sheetViews>
  <sheetFormatPr defaultRowHeight="12.75" x14ac:dyDescent="0.2"/>
  <cols>
    <col min="1" max="1" width="39.28515625" customWidth="1"/>
    <col min="2" max="2" width="12.85546875" customWidth="1"/>
    <col min="4" max="4" width="21.5703125" customWidth="1"/>
    <col min="5" max="5" width="17.7109375" bestFit="1" customWidth="1"/>
    <col min="6" max="6" width="19" bestFit="1" customWidth="1"/>
    <col min="7" max="8" width="14.7109375" bestFit="1" customWidth="1"/>
    <col min="9" max="9" width="12.140625" bestFit="1" customWidth="1"/>
  </cols>
  <sheetData>
    <row r="1" spans="1:10" ht="16.5" thickBot="1" x14ac:dyDescent="0.3">
      <c r="A1" s="320" t="s">
        <v>289</v>
      </c>
      <c r="B1" s="321"/>
      <c r="C1" s="321"/>
      <c r="D1" s="321"/>
      <c r="E1" s="321"/>
      <c r="F1" s="321"/>
      <c r="G1" s="321"/>
      <c r="H1" s="322"/>
      <c r="I1" s="100"/>
    </row>
    <row r="2" spans="1:10" ht="16.5" thickBot="1" x14ac:dyDescent="0.3">
      <c r="A2" s="323" t="s">
        <v>269</v>
      </c>
      <c r="B2" s="324"/>
      <c r="C2" s="324"/>
      <c r="D2" s="324"/>
      <c r="E2" s="324"/>
      <c r="F2" s="324"/>
      <c r="G2" s="324"/>
      <c r="H2" s="325"/>
      <c r="I2" s="100"/>
    </row>
    <row r="3" spans="1:10" ht="16.5" thickBot="1" x14ac:dyDescent="0.3">
      <c r="A3" s="320" t="s">
        <v>131</v>
      </c>
      <c r="B3" s="321"/>
      <c r="C3" s="321"/>
      <c r="D3" s="321"/>
      <c r="E3" s="321"/>
      <c r="F3" s="321"/>
      <c r="G3" s="321"/>
      <c r="H3" s="322"/>
      <c r="I3" s="100"/>
    </row>
    <row r="4" spans="1:10" ht="15.75" thickBot="1" x14ac:dyDescent="0.25">
      <c r="A4" s="326" t="s">
        <v>9</v>
      </c>
      <c r="B4" s="327"/>
      <c r="C4" s="327"/>
      <c r="D4" s="327"/>
      <c r="E4" s="327"/>
      <c r="F4" s="327"/>
      <c r="G4" s="327"/>
      <c r="H4" s="328"/>
      <c r="I4" s="104"/>
    </row>
    <row r="5" spans="1:10" ht="15.75" x14ac:dyDescent="0.25">
      <c r="A5" s="105"/>
      <c r="B5" s="105"/>
      <c r="C5" s="105"/>
      <c r="D5" s="105"/>
      <c r="E5" s="105"/>
      <c r="F5" s="105"/>
      <c r="G5" s="105"/>
      <c r="H5" s="101"/>
      <c r="I5" s="101"/>
    </row>
    <row r="6" spans="1:10" ht="15.75" x14ac:dyDescent="0.25">
      <c r="A6" s="106" t="s">
        <v>132</v>
      </c>
      <c r="B6" s="101"/>
      <c r="C6" s="101"/>
      <c r="D6" s="101"/>
      <c r="E6" s="101"/>
      <c r="F6" s="101"/>
      <c r="G6" s="101"/>
      <c r="H6" s="101"/>
      <c r="I6" s="101"/>
    </row>
    <row r="7" spans="1:10" ht="15.75" x14ac:dyDescent="0.25">
      <c r="A7" s="107" t="s">
        <v>133</v>
      </c>
      <c r="B7" s="108" t="s">
        <v>286</v>
      </c>
      <c r="C7" s="108"/>
      <c r="D7" s="108"/>
      <c r="E7" s="108"/>
      <c r="F7" s="108"/>
      <c r="G7" s="108" t="s">
        <v>135</v>
      </c>
      <c r="H7" s="109"/>
      <c r="I7" s="109"/>
    </row>
    <row r="8" spans="1:10" ht="15.75" x14ac:dyDescent="0.25">
      <c r="A8" s="107" t="s">
        <v>136</v>
      </c>
      <c r="B8" s="110">
        <v>22</v>
      </c>
      <c r="C8" s="110"/>
      <c r="D8" s="110"/>
      <c r="E8" s="110"/>
      <c r="F8" s="110"/>
      <c r="G8" s="111">
        <f>SUM(B8:F8)</f>
        <v>22</v>
      </c>
      <c r="H8" s="109"/>
      <c r="I8" s="109"/>
    </row>
    <row r="9" spans="1:10" ht="15.75" x14ac:dyDescent="0.25">
      <c r="A9" s="107" t="s">
        <v>137</v>
      </c>
      <c r="B9" s="112"/>
      <c r="C9" s="112"/>
      <c r="D9" s="112"/>
      <c r="E9" s="112"/>
      <c r="F9" s="112"/>
      <c r="G9" s="113">
        <v>0</v>
      </c>
      <c r="H9" s="109"/>
      <c r="I9" s="109"/>
    </row>
    <row r="10" spans="1:10" ht="15.75" x14ac:dyDescent="0.25">
      <c r="A10" s="107" t="s">
        <v>138</v>
      </c>
      <c r="B10" s="114">
        <f>Roteiros!D44</f>
        <v>78.562839999999994</v>
      </c>
      <c r="C10" s="114"/>
      <c r="D10" s="114"/>
      <c r="E10" s="114"/>
      <c r="F10" s="114"/>
      <c r="G10" s="115">
        <f>SUM(B10:F10)</f>
        <v>78.562839999999994</v>
      </c>
      <c r="H10" s="109"/>
      <c r="I10" s="109"/>
    </row>
    <row r="11" spans="1:10" ht="15.75" x14ac:dyDescent="0.25">
      <c r="A11" s="310" t="s">
        <v>139</v>
      </c>
      <c r="B11" s="311"/>
      <c r="C11" s="311"/>
      <c r="D11" s="311"/>
      <c r="E11" s="311"/>
      <c r="F11" s="312"/>
      <c r="G11" s="116">
        <f>G10+G9</f>
        <v>78.562839999999994</v>
      </c>
      <c r="H11" s="109"/>
      <c r="I11" s="109"/>
    </row>
    <row r="12" spans="1:10" ht="15.75" x14ac:dyDescent="0.25">
      <c r="A12" s="298" t="s">
        <v>140</v>
      </c>
      <c r="B12" s="118" t="s">
        <v>273</v>
      </c>
      <c r="C12" s="118"/>
      <c r="D12" s="118"/>
      <c r="E12" s="119"/>
      <c r="F12" s="119"/>
      <c r="G12" s="120" t="s">
        <v>142</v>
      </c>
      <c r="H12" s="109"/>
      <c r="I12" s="109"/>
      <c r="J12" s="109"/>
    </row>
    <row r="13" spans="1:10" ht="15.75" x14ac:dyDescent="0.25">
      <c r="A13" s="298" t="s">
        <v>143</v>
      </c>
      <c r="B13" s="118">
        <v>2.2400000000000002</v>
      </c>
      <c r="C13" s="118"/>
      <c r="D13" s="299"/>
      <c r="E13" s="121"/>
      <c r="F13" s="121"/>
      <c r="G13" s="115">
        <f>SUM(B13:F13)</f>
        <v>2.2400000000000002</v>
      </c>
      <c r="H13" s="122"/>
      <c r="I13" s="109"/>
      <c r="J13" s="109"/>
    </row>
    <row r="14" spans="1:10" ht="15.75" x14ac:dyDescent="0.25">
      <c r="A14" s="310" t="s">
        <v>144</v>
      </c>
      <c r="B14" s="311"/>
      <c r="C14" s="311"/>
      <c r="D14" s="311"/>
      <c r="E14" s="311"/>
      <c r="F14" s="312"/>
      <c r="G14" s="115">
        <v>3</v>
      </c>
      <c r="H14" s="123"/>
      <c r="I14" s="123"/>
      <c r="J14" s="123"/>
    </row>
    <row r="15" spans="1:10" ht="15.75" x14ac:dyDescent="0.25">
      <c r="A15" s="310" t="s">
        <v>145</v>
      </c>
      <c r="B15" s="311"/>
      <c r="C15" s="311"/>
      <c r="D15" s="311"/>
      <c r="E15" s="311"/>
      <c r="F15" s="312"/>
      <c r="G15" s="116">
        <f>(G14+G13)</f>
        <v>5.24</v>
      </c>
      <c r="H15" s="123"/>
      <c r="I15" s="123"/>
      <c r="J15" s="123"/>
    </row>
    <row r="16" spans="1:10" ht="15.75" x14ac:dyDescent="0.25">
      <c r="A16" s="310" t="s">
        <v>146</v>
      </c>
      <c r="B16" s="311"/>
      <c r="C16" s="311"/>
      <c r="D16" s="311"/>
      <c r="E16" s="311"/>
      <c r="F16" s="312"/>
      <c r="G16" s="124">
        <f>B36/12/(G8/2)</f>
        <v>10.037878787878789</v>
      </c>
      <c r="H16" s="109"/>
      <c r="I16" s="109"/>
    </row>
    <row r="17" spans="1:9" ht="15.75" x14ac:dyDescent="0.25">
      <c r="A17" s="120" t="s">
        <v>147</v>
      </c>
      <c r="B17" s="329" t="s">
        <v>274</v>
      </c>
      <c r="C17" s="330"/>
      <c r="D17" s="330"/>
      <c r="E17" s="330"/>
      <c r="F17" s="330"/>
      <c r="G17" s="331"/>
      <c r="H17" s="109"/>
      <c r="I17" s="123"/>
    </row>
    <row r="18" spans="1:9" ht="15.75" x14ac:dyDescent="0.25">
      <c r="A18" s="332" t="s">
        <v>149</v>
      </c>
      <c r="B18" s="333"/>
      <c r="C18" s="333"/>
      <c r="D18" s="333"/>
      <c r="E18" s="333"/>
      <c r="F18" s="334"/>
      <c r="G18" s="125">
        <v>158900</v>
      </c>
      <c r="H18" s="109"/>
      <c r="I18" s="109"/>
    </row>
    <row r="19" spans="1:9" ht="15.75" x14ac:dyDescent="0.25">
      <c r="A19" s="310" t="s">
        <v>150</v>
      </c>
      <c r="B19" s="311"/>
      <c r="C19" s="311"/>
      <c r="D19" s="311"/>
      <c r="E19" s="311"/>
      <c r="F19" s="312"/>
      <c r="G19" s="115">
        <v>3.67</v>
      </c>
      <c r="H19" s="109"/>
      <c r="I19" s="109"/>
    </row>
    <row r="20" spans="1:9" ht="15.75" x14ac:dyDescent="0.25">
      <c r="A20" s="310" t="s">
        <v>151</v>
      </c>
      <c r="B20" s="311"/>
      <c r="C20" s="311"/>
      <c r="D20" s="311"/>
      <c r="E20" s="311"/>
      <c r="F20" s="312"/>
      <c r="G20" s="115">
        <v>4.5</v>
      </c>
      <c r="H20" s="109"/>
      <c r="I20" s="109"/>
    </row>
    <row r="21" spans="1:9" ht="15.75" x14ac:dyDescent="0.25">
      <c r="A21" s="310" t="s">
        <v>152</v>
      </c>
      <c r="B21" s="311"/>
      <c r="C21" s="311"/>
      <c r="D21" s="311"/>
      <c r="E21" s="311"/>
      <c r="F21" s="312"/>
      <c r="G21" s="115">
        <v>0.6</v>
      </c>
      <c r="H21" s="109"/>
      <c r="I21" s="109"/>
    </row>
    <row r="22" spans="1:9" ht="15.75" x14ac:dyDescent="0.25">
      <c r="A22" s="310" t="s">
        <v>153</v>
      </c>
      <c r="B22" s="311"/>
      <c r="C22" s="311"/>
      <c r="D22" s="311"/>
      <c r="E22" s="311"/>
      <c r="F22" s="312"/>
      <c r="G22" s="126">
        <v>20</v>
      </c>
      <c r="H22" s="109"/>
      <c r="I22" s="109"/>
    </row>
    <row r="23" spans="1:9" ht="15" x14ac:dyDescent="0.2">
      <c r="A23" s="109"/>
      <c r="B23" s="109"/>
      <c r="C23" s="109"/>
      <c r="D23" s="109"/>
      <c r="E23" s="109"/>
      <c r="F23" s="109"/>
      <c r="G23" s="109"/>
      <c r="H23" s="109"/>
      <c r="I23" s="109"/>
    </row>
    <row r="24" spans="1:9" ht="15.75" x14ac:dyDescent="0.25">
      <c r="A24" s="127" t="s">
        <v>154</v>
      </c>
      <c r="B24" s="128" t="s">
        <v>128</v>
      </c>
      <c r="C24" s="101"/>
      <c r="D24" s="100"/>
      <c r="E24" s="100"/>
      <c r="F24" s="100"/>
      <c r="G24" s="100"/>
      <c r="H24" s="100"/>
      <c r="I24" s="109"/>
    </row>
    <row r="25" spans="1:9" ht="15.75" x14ac:dyDescent="0.25">
      <c r="A25" s="120" t="s">
        <v>155</v>
      </c>
      <c r="B25" s="129">
        <f>(G22*G11*G19)/G20</f>
        <v>1281.4472124444444</v>
      </c>
      <c r="C25" s="130"/>
      <c r="D25" s="131"/>
      <c r="E25" s="132"/>
      <c r="F25" s="132"/>
      <c r="G25" s="132"/>
      <c r="H25" s="133"/>
      <c r="I25" s="109"/>
    </row>
    <row r="26" spans="1:9" ht="15.75" x14ac:dyDescent="0.25">
      <c r="A26" s="120" t="s">
        <v>156</v>
      </c>
      <c r="B26" s="129">
        <f>G21*B25</f>
        <v>768.86832746666664</v>
      </c>
      <c r="C26" s="130"/>
      <c r="D26" s="131"/>
      <c r="E26" s="132"/>
      <c r="F26" s="132"/>
      <c r="G26" s="132"/>
      <c r="H26" s="133"/>
      <c r="I26" s="109"/>
    </row>
    <row r="27" spans="1:9" ht="15" x14ac:dyDescent="0.2">
      <c r="A27" s="134"/>
      <c r="B27" s="134"/>
      <c r="C27" s="131"/>
      <c r="D27" s="131"/>
      <c r="E27" s="132"/>
      <c r="F27" s="132"/>
      <c r="G27" s="132"/>
      <c r="H27" s="133"/>
      <c r="I27" s="109"/>
    </row>
    <row r="28" spans="1:9" ht="15.75" x14ac:dyDescent="0.25">
      <c r="A28" s="108" t="s">
        <v>157</v>
      </c>
      <c r="B28" s="135">
        <f>SUM(B25:B27)</f>
        <v>2050.315539911111</v>
      </c>
      <c r="C28" s="136"/>
      <c r="D28" s="131"/>
      <c r="E28" s="109"/>
      <c r="F28" s="109"/>
      <c r="G28" s="109"/>
      <c r="H28" s="109"/>
      <c r="I28" s="109"/>
    </row>
    <row r="29" spans="1:9" ht="15.75" x14ac:dyDescent="0.25">
      <c r="A29" s="137"/>
      <c r="B29" s="138"/>
      <c r="C29" s="138"/>
      <c r="D29" s="109"/>
      <c r="E29" s="109"/>
      <c r="F29" s="109"/>
      <c r="G29" s="109"/>
      <c r="H29" s="109"/>
      <c r="I29" s="109"/>
    </row>
    <row r="30" spans="1:9" ht="15.75" x14ac:dyDescent="0.25">
      <c r="A30" s="313" t="s">
        <v>158</v>
      </c>
      <c r="B30" s="314"/>
      <c r="C30" s="314"/>
      <c r="D30" s="314"/>
      <c r="E30" s="314"/>
      <c r="F30" s="314"/>
      <c r="G30" s="314"/>
      <c r="H30" s="314"/>
      <c r="I30" s="100"/>
    </row>
    <row r="31" spans="1:9" ht="15.75" x14ac:dyDescent="0.25">
      <c r="A31" s="139" t="s">
        <v>159</v>
      </c>
      <c r="B31" s="140">
        <f>(G18-H42)*0.05</f>
        <v>2325.5014999999999</v>
      </c>
      <c r="C31" s="141"/>
      <c r="D31" s="142" t="s">
        <v>160</v>
      </c>
      <c r="E31" s="142" t="s">
        <v>161</v>
      </c>
      <c r="F31" s="142" t="s">
        <v>162</v>
      </c>
      <c r="G31" s="142" t="s">
        <v>163</v>
      </c>
      <c r="H31" s="142" t="s">
        <v>135</v>
      </c>
      <c r="I31" s="102"/>
    </row>
    <row r="32" spans="1:9" ht="15.75" x14ac:dyDescent="0.25">
      <c r="A32" s="134" t="s">
        <v>164</v>
      </c>
      <c r="B32" s="143">
        <v>164.82</v>
      </c>
      <c r="C32" s="141"/>
      <c r="D32" s="113">
        <v>1799.53</v>
      </c>
      <c r="E32" s="144">
        <f>'Encargos Sociais'!C38</f>
        <v>0.38321660000000002</v>
      </c>
      <c r="F32" s="145">
        <f>(D32*E32)+D32</f>
        <v>2489.1397681979997</v>
      </c>
      <c r="G32" s="146">
        <v>11.2</v>
      </c>
      <c r="H32" s="116">
        <f>F32*G32</f>
        <v>27878.365403817596</v>
      </c>
      <c r="I32" s="102"/>
    </row>
    <row r="33" spans="1:9" ht="15.75" x14ac:dyDescent="0.25">
      <c r="A33" s="134" t="s">
        <v>165</v>
      </c>
      <c r="B33" s="143">
        <v>100</v>
      </c>
      <c r="C33" s="141"/>
      <c r="D33" s="108" t="s">
        <v>166</v>
      </c>
      <c r="E33" s="108" t="s">
        <v>167</v>
      </c>
      <c r="F33" s="108" t="s">
        <v>162</v>
      </c>
      <c r="G33" s="108" t="s">
        <v>163</v>
      </c>
      <c r="H33" s="108" t="s">
        <v>135</v>
      </c>
      <c r="I33" s="102"/>
    </row>
    <row r="34" spans="1:9" ht="15.75" x14ac:dyDescent="0.25">
      <c r="A34" s="134" t="s">
        <v>168</v>
      </c>
      <c r="B34" s="143">
        <v>700</v>
      </c>
      <c r="C34" s="141"/>
      <c r="D34" s="147">
        <v>17.739999999999998</v>
      </c>
      <c r="E34" s="148">
        <f>G22</f>
        <v>20</v>
      </c>
      <c r="F34" s="149">
        <f>D34*E34</f>
        <v>354.79999999999995</v>
      </c>
      <c r="G34" s="150">
        <v>10</v>
      </c>
      <c r="H34" s="116">
        <f>F34*G34</f>
        <v>3547.9999999999995</v>
      </c>
      <c r="I34" s="102"/>
    </row>
    <row r="35" spans="1:9" ht="15.75" x14ac:dyDescent="0.25">
      <c r="A35" s="134" t="s">
        <v>169</v>
      </c>
      <c r="B35" s="143">
        <f>H43</f>
        <v>7492.6646666666666</v>
      </c>
      <c r="C35" s="141"/>
      <c r="D35" s="151" t="s">
        <v>170</v>
      </c>
      <c r="E35" s="148"/>
      <c r="F35" s="152"/>
      <c r="G35" s="150"/>
      <c r="H35" s="116">
        <f>H32+H34</f>
        <v>31426.365403817596</v>
      </c>
      <c r="I35" s="102"/>
    </row>
    <row r="36" spans="1:9" ht="15.75" thickBot="1" x14ac:dyDescent="0.25">
      <c r="A36" s="134" t="s">
        <v>171</v>
      </c>
      <c r="B36" s="143">
        <v>1325</v>
      </c>
      <c r="C36" s="141"/>
      <c r="D36" s="109"/>
      <c r="E36" s="102"/>
      <c r="F36" s="102"/>
      <c r="G36" s="102"/>
      <c r="H36" s="102"/>
      <c r="I36" s="102"/>
    </row>
    <row r="37" spans="1:9" ht="16.5" thickBot="1" x14ac:dyDescent="0.25">
      <c r="A37" s="134" t="s">
        <v>172</v>
      </c>
      <c r="B37" s="153">
        <v>1</v>
      </c>
      <c r="C37" s="154"/>
      <c r="D37" s="155" t="s">
        <v>173</v>
      </c>
      <c r="E37" s="156"/>
      <c r="F37" s="156"/>
      <c r="G37" s="109"/>
      <c r="H37" s="109"/>
      <c r="I37" s="102"/>
    </row>
    <row r="38" spans="1:9" ht="15.75" thickBot="1" x14ac:dyDescent="0.25">
      <c r="A38" s="134" t="s">
        <v>174</v>
      </c>
      <c r="B38" s="147">
        <f>H35*B37</f>
        <v>31426.365403817596</v>
      </c>
      <c r="C38" s="138"/>
      <c r="D38" s="157" t="s">
        <v>10</v>
      </c>
      <c r="E38" s="158" t="s">
        <v>11</v>
      </c>
      <c r="F38" s="158" t="s">
        <v>6</v>
      </c>
      <c r="G38" s="159" t="s">
        <v>93</v>
      </c>
      <c r="H38" s="159" t="s">
        <v>12</v>
      </c>
      <c r="I38" s="102"/>
    </row>
    <row r="39" spans="1:9" ht="15.75" x14ac:dyDescent="0.25">
      <c r="A39" s="120" t="s">
        <v>175</v>
      </c>
      <c r="B39" s="135">
        <f>SUM(B31:B36)+B38</f>
        <v>43534.351570484258</v>
      </c>
      <c r="C39" s="136"/>
      <c r="D39" s="160" t="s">
        <v>176</v>
      </c>
      <c r="E39" s="161" t="s">
        <v>2</v>
      </c>
      <c r="F39" s="162">
        <v>1</v>
      </c>
      <c r="G39" s="163">
        <f>G18</f>
        <v>158900</v>
      </c>
      <c r="H39" s="164">
        <f>F39*G39</f>
        <v>158900</v>
      </c>
      <c r="I39" s="102"/>
    </row>
    <row r="40" spans="1:9" ht="15.75" x14ac:dyDescent="0.25">
      <c r="A40" s="120" t="s">
        <v>177</v>
      </c>
      <c r="B40" s="135">
        <f>B39/10*B41</f>
        <v>2592.2727526061085</v>
      </c>
      <c r="C40" s="136"/>
      <c r="D40" s="165" t="s">
        <v>26</v>
      </c>
      <c r="E40" s="166" t="s">
        <v>27</v>
      </c>
      <c r="F40" s="167">
        <v>15</v>
      </c>
      <c r="G40" s="168"/>
      <c r="H40" s="169"/>
      <c r="I40" s="102"/>
    </row>
    <row r="41" spans="1:9" ht="15.75" x14ac:dyDescent="0.25">
      <c r="A41" s="170" t="s">
        <v>178</v>
      </c>
      <c r="B41" s="171">
        <f>(G15*5)/44</f>
        <v>0.59545454545454557</v>
      </c>
      <c r="C41" s="172"/>
      <c r="D41" s="165" t="s">
        <v>87</v>
      </c>
      <c r="E41" s="166" t="s">
        <v>27</v>
      </c>
      <c r="F41" s="173">
        <v>15</v>
      </c>
      <c r="G41" s="169"/>
      <c r="H41" s="169"/>
      <c r="I41" s="102"/>
    </row>
    <row r="42" spans="1:9" ht="15" x14ac:dyDescent="0.2">
      <c r="A42" s="102"/>
      <c r="B42" s="102"/>
      <c r="C42" s="102"/>
      <c r="D42" s="165" t="s">
        <v>179</v>
      </c>
      <c r="E42" s="166" t="s">
        <v>0</v>
      </c>
      <c r="F42" s="174">
        <f>[1]Depreciação!B17</f>
        <v>70.73</v>
      </c>
      <c r="G42" s="169">
        <f>H39</f>
        <v>158900</v>
      </c>
      <c r="H42" s="169">
        <f>F42*G42/100</f>
        <v>112389.97</v>
      </c>
      <c r="I42" s="102"/>
    </row>
    <row r="43" spans="1:9" ht="16.5" thickBot="1" x14ac:dyDescent="0.25">
      <c r="A43" s="132"/>
      <c r="B43" s="132"/>
      <c r="C43" s="132"/>
      <c r="D43" s="175" t="s">
        <v>180</v>
      </c>
      <c r="E43" s="176" t="s">
        <v>1</v>
      </c>
      <c r="F43" s="177">
        <f>F40*12</f>
        <v>180</v>
      </c>
      <c r="G43" s="178">
        <f>IF(F41&lt;=F40,H42,0)</f>
        <v>112389.97</v>
      </c>
      <c r="H43" s="178">
        <f>IFERROR(G43/F43,0)*12</f>
        <v>7492.6646666666666</v>
      </c>
      <c r="I43" s="102"/>
    </row>
    <row r="44" spans="1:9" ht="15.75" thickTop="1" x14ac:dyDescent="0.2">
      <c r="A44" s="131"/>
      <c r="B44" s="138"/>
      <c r="C44" s="138"/>
      <c r="D44" s="109"/>
      <c r="E44" s="109"/>
      <c r="F44" s="102"/>
      <c r="G44" s="102"/>
      <c r="H44" s="102"/>
      <c r="I44" s="102"/>
    </row>
    <row r="45" spans="1:9" ht="15.75" x14ac:dyDescent="0.25">
      <c r="A45" s="313" t="s">
        <v>181</v>
      </c>
      <c r="B45" s="314"/>
      <c r="C45" s="314"/>
      <c r="D45" s="314"/>
      <c r="E45" s="314"/>
      <c r="F45" s="314"/>
      <c r="G45" s="315"/>
      <c r="H45" s="179">
        <f>($B$40+$B$28)</f>
        <v>4642.5882925172191</v>
      </c>
      <c r="I45" s="102"/>
    </row>
    <row r="46" spans="1:9" x14ac:dyDescent="0.2">
      <c r="A46" s="180"/>
      <c r="B46" s="180"/>
      <c r="C46" s="180"/>
      <c r="D46" s="180"/>
      <c r="E46" s="180"/>
      <c r="F46" s="181"/>
      <c r="G46" s="181"/>
      <c r="H46" s="181"/>
      <c r="I46" s="102"/>
    </row>
    <row r="47" spans="1:9" ht="16.5" thickBot="1" x14ac:dyDescent="0.3">
      <c r="A47" s="313" t="s">
        <v>182</v>
      </c>
      <c r="B47" s="314"/>
      <c r="C47" s="314"/>
      <c r="D47" s="314"/>
      <c r="E47" s="314"/>
      <c r="F47" s="314"/>
      <c r="G47" s="315"/>
      <c r="H47" s="181"/>
      <c r="I47" s="102"/>
    </row>
    <row r="48" spans="1:9" ht="16.5" thickBot="1" x14ac:dyDescent="0.25">
      <c r="A48" s="182" t="s">
        <v>10</v>
      </c>
      <c r="B48" s="183" t="s">
        <v>11</v>
      </c>
      <c r="C48" s="183"/>
      <c r="D48" s="183" t="s">
        <v>6</v>
      </c>
      <c r="E48" s="184" t="s">
        <v>93</v>
      </c>
      <c r="F48" s="184" t="s">
        <v>12</v>
      </c>
      <c r="G48" s="185" t="s">
        <v>183</v>
      </c>
      <c r="H48" s="102"/>
      <c r="I48" s="186"/>
    </row>
    <row r="49" spans="1:9" ht="16.5" thickBot="1" x14ac:dyDescent="0.25">
      <c r="A49" s="187" t="s">
        <v>4</v>
      </c>
      <c r="B49" s="188" t="s">
        <v>0</v>
      </c>
      <c r="C49" s="188"/>
      <c r="D49" s="189">
        <f>BDI!C21</f>
        <v>0.2712</v>
      </c>
      <c r="E49" s="164">
        <f>H45</f>
        <v>4642.5882925172191</v>
      </c>
      <c r="F49" s="164">
        <f>D49*E49/1</f>
        <v>1259.0699449306699</v>
      </c>
      <c r="G49" s="190"/>
      <c r="H49" s="109"/>
      <c r="I49" s="102"/>
    </row>
    <row r="50" spans="1:9" ht="16.5" thickBot="1" x14ac:dyDescent="0.25">
      <c r="A50" s="191" t="s">
        <v>184</v>
      </c>
      <c r="B50" s="192"/>
      <c r="C50" s="192"/>
      <c r="D50" s="191"/>
      <c r="E50" s="193"/>
      <c r="F50" s="194"/>
      <c r="G50" s="195">
        <f>+F49</f>
        <v>1259.0699449306699</v>
      </c>
      <c r="H50" s="109"/>
      <c r="I50" s="186"/>
    </row>
    <row r="51" spans="1:9" ht="15.75" thickBot="1" x14ac:dyDescent="0.25">
      <c r="A51" s="180"/>
      <c r="B51" s="180"/>
      <c r="C51" s="180"/>
      <c r="D51" s="196"/>
      <c r="E51" s="196"/>
      <c r="F51" s="190"/>
      <c r="G51" s="190"/>
      <c r="H51" s="190"/>
      <c r="I51" s="102"/>
    </row>
    <row r="52" spans="1:9" ht="16.5" thickBot="1" x14ac:dyDescent="0.25">
      <c r="A52" s="197" t="s">
        <v>185</v>
      </c>
      <c r="B52" s="198"/>
      <c r="C52" s="198"/>
      <c r="D52" s="199"/>
      <c r="E52" s="199"/>
      <c r="F52" s="200"/>
      <c r="G52" s="201"/>
      <c r="H52" s="202">
        <f>G50</f>
        <v>1259.0699449306699</v>
      </c>
      <c r="I52" s="102"/>
    </row>
    <row r="53" spans="1:9" ht="13.5" thickBot="1" x14ac:dyDescent="0.25">
      <c r="A53" s="180"/>
      <c r="B53" s="180"/>
      <c r="C53" s="180"/>
      <c r="D53" s="180"/>
      <c r="E53" s="180"/>
      <c r="F53" s="181"/>
      <c r="G53" s="181"/>
      <c r="H53" s="181"/>
      <c r="I53" s="102"/>
    </row>
    <row r="54" spans="1:9" ht="16.5" thickBot="1" x14ac:dyDescent="0.25">
      <c r="A54" s="197" t="s">
        <v>186</v>
      </c>
      <c r="B54" s="198"/>
      <c r="C54" s="198"/>
      <c r="D54" s="198"/>
      <c r="E54" s="198"/>
      <c r="F54" s="203"/>
      <c r="G54" s="204"/>
      <c r="H54" s="205">
        <f>H45+H52</f>
        <v>5901.6582374478894</v>
      </c>
      <c r="I54" s="102"/>
    </row>
    <row r="55" spans="1:9" ht="15.75" thickBot="1" x14ac:dyDescent="0.25">
      <c r="A55" s="131"/>
      <c r="B55" s="138"/>
      <c r="C55" s="138"/>
      <c r="D55" s="109"/>
      <c r="E55" s="109"/>
      <c r="F55" s="102"/>
      <c r="G55" s="102"/>
      <c r="H55" s="109"/>
      <c r="I55" s="102"/>
    </row>
    <row r="56" spans="1:9" ht="16.5" thickBot="1" x14ac:dyDescent="0.3">
      <c r="A56" s="206" t="s">
        <v>187</v>
      </c>
      <c r="B56" s="207"/>
      <c r="C56" s="207"/>
      <c r="D56" s="207"/>
      <c r="E56" s="207"/>
      <c r="F56" s="207"/>
      <c r="G56" s="207"/>
      <c r="H56" s="208">
        <f>H54/(G11*G22)</f>
        <v>3.7560112627343218</v>
      </c>
      <c r="I56" s="102"/>
    </row>
    <row r="57" spans="1:9" ht="15.75" thickBot="1" x14ac:dyDescent="0.25">
      <c r="A57" s="109"/>
      <c r="B57" s="109"/>
      <c r="C57" s="109"/>
      <c r="D57" s="109"/>
      <c r="E57" s="109"/>
      <c r="F57" s="109"/>
      <c r="G57" s="109"/>
      <c r="H57" s="109"/>
      <c r="I57" s="109"/>
    </row>
    <row r="58" spans="1:9" ht="18" x14ac:dyDescent="0.2">
      <c r="A58" s="316" t="s">
        <v>83</v>
      </c>
      <c r="B58" s="317"/>
      <c r="C58" s="317"/>
      <c r="D58" s="317"/>
      <c r="E58" s="317"/>
      <c r="F58" s="318"/>
      <c r="G58" s="319"/>
      <c r="H58" s="109"/>
      <c r="I58" s="109"/>
    </row>
    <row r="59" spans="1:9" ht="18" x14ac:dyDescent="0.2">
      <c r="A59" s="209" t="s">
        <v>82</v>
      </c>
      <c r="B59" s="210"/>
      <c r="C59" s="210"/>
      <c r="D59" s="210"/>
      <c r="E59" s="211"/>
      <c r="F59" s="212" t="s">
        <v>5</v>
      </c>
      <c r="G59" s="213" t="s">
        <v>0</v>
      </c>
      <c r="H59" s="109"/>
      <c r="I59" s="109"/>
    </row>
    <row r="60" spans="1:9" ht="18" x14ac:dyDescent="0.2">
      <c r="A60" s="214" t="str">
        <f>A24</f>
        <v>1- CUSTO VARIÁVEL</v>
      </c>
      <c r="B60" s="215"/>
      <c r="C60" s="215"/>
      <c r="D60" s="216"/>
      <c r="E60" s="217"/>
      <c r="F60" s="211">
        <f>SUM(F61:F62)</f>
        <v>2050.315539911111</v>
      </c>
      <c r="G60" s="218">
        <f t="shared" ref="G60:G66" si="0">F60/$F$68</f>
        <v>0.34741346540557194</v>
      </c>
      <c r="H60" s="109"/>
      <c r="I60" s="109"/>
    </row>
    <row r="61" spans="1:9" ht="18" x14ac:dyDescent="0.2">
      <c r="A61" s="219" t="str">
        <f>A25</f>
        <v>1.1 COMBUSTÍVEL</v>
      </c>
      <c r="B61" s="220"/>
      <c r="C61" s="220"/>
      <c r="D61" s="210"/>
      <c r="E61" s="221"/>
      <c r="F61" s="221">
        <f>B25</f>
        <v>1281.4472124444444</v>
      </c>
      <c r="G61" s="222">
        <f t="shared" si="0"/>
        <v>0.21713341587848248</v>
      </c>
      <c r="H61" s="109"/>
      <c r="I61" s="109"/>
    </row>
    <row r="62" spans="1:9" ht="18" x14ac:dyDescent="0.2">
      <c r="A62" s="223" t="str">
        <f>A26</f>
        <v>1.2 MANUTENÇÃO</v>
      </c>
      <c r="B62" s="224"/>
      <c r="C62" s="224"/>
      <c r="D62" s="225"/>
      <c r="E62" s="226"/>
      <c r="F62" s="227">
        <f>B26</f>
        <v>768.86832746666664</v>
      </c>
      <c r="G62" s="222">
        <f t="shared" si="0"/>
        <v>0.13028004952708949</v>
      </c>
      <c r="H62" s="109"/>
      <c r="I62" s="109"/>
    </row>
    <row r="63" spans="1:9" ht="18" x14ac:dyDescent="0.2">
      <c r="A63" s="228" t="str">
        <f>A30</f>
        <v xml:space="preserve">2 - TOTAL CUSTO FIXO MENSAL </v>
      </c>
      <c r="B63" s="224"/>
      <c r="C63" s="224"/>
      <c r="D63" s="225"/>
      <c r="E63" s="226"/>
      <c r="F63" s="211">
        <f>SUM(F64)</f>
        <v>2592.2727526061085</v>
      </c>
      <c r="G63" s="218">
        <f t="shared" si="0"/>
        <v>0.43924481023948786</v>
      </c>
      <c r="H63" s="109"/>
      <c r="I63" s="109"/>
    </row>
    <row r="64" spans="1:9" ht="18" x14ac:dyDescent="0.2">
      <c r="A64" s="223" t="str">
        <f>A40</f>
        <v>2.1 TOTAL CUSTO FIXO MENSAL</v>
      </c>
      <c r="B64" s="224"/>
      <c r="C64" s="224"/>
      <c r="D64" s="225"/>
      <c r="E64" s="226"/>
      <c r="F64" s="221">
        <f>B40</f>
        <v>2592.2727526061085</v>
      </c>
      <c r="G64" s="222">
        <f>F64/$F$68</f>
        <v>0.43924481023948786</v>
      </c>
      <c r="H64" s="109"/>
      <c r="I64" s="109"/>
    </row>
    <row r="65" spans="1:9" ht="18" x14ac:dyDescent="0.2">
      <c r="A65" s="229" t="str">
        <f>A45</f>
        <v>3- CUSTO TOTAL MENSAL COM DESPESAS OPERACIONAIS</v>
      </c>
      <c r="B65" s="230"/>
      <c r="C65" s="230"/>
      <c r="D65" s="230"/>
      <c r="E65" s="231"/>
      <c r="F65" s="211">
        <f>F60+F63</f>
        <v>4642.5882925172191</v>
      </c>
      <c r="G65" s="218">
        <f t="shared" si="0"/>
        <v>0.78665827564505975</v>
      </c>
      <c r="H65" s="109"/>
      <c r="I65" s="109"/>
    </row>
    <row r="66" spans="1:9" ht="18" x14ac:dyDescent="0.2">
      <c r="A66" s="232" t="str">
        <f>A47</f>
        <v xml:space="preserve">4- BENEFÍCIOS E DESPESAS INDIRETAS </v>
      </c>
      <c r="B66" s="233"/>
      <c r="C66" s="233"/>
      <c r="D66" s="230"/>
      <c r="E66" s="211"/>
      <c r="F66" s="211">
        <f>H52</f>
        <v>1259.0699449306699</v>
      </c>
      <c r="G66" s="218">
        <f t="shared" si="0"/>
        <v>0.2133417243549402</v>
      </c>
      <c r="H66" s="109"/>
      <c r="I66" s="109"/>
    </row>
    <row r="67" spans="1:9" ht="18.75" thickBot="1" x14ac:dyDescent="0.25">
      <c r="A67" s="234"/>
      <c r="B67" s="235"/>
      <c r="C67" s="235"/>
      <c r="D67" s="236"/>
      <c r="E67" s="237"/>
      <c r="F67" s="238"/>
      <c r="G67" s="239"/>
      <c r="H67" s="109"/>
      <c r="I67" s="109"/>
    </row>
    <row r="68" spans="1:9" ht="18.75" thickBot="1" x14ac:dyDescent="0.25">
      <c r="A68" s="240" t="str">
        <f>A54</f>
        <v xml:space="preserve">5- PREÇO MENSAL TOTAL COM O TRANSPORTE ESCOLAR </v>
      </c>
      <c r="B68" s="241"/>
      <c r="C68" s="241"/>
      <c r="D68" s="242"/>
      <c r="E68" s="242"/>
      <c r="F68" s="242">
        <f>F65+F66</f>
        <v>5901.6582374478894</v>
      </c>
      <c r="G68" s="243">
        <f>G65+G66</f>
        <v>1</v>
      </c>
      <c r="H68" s="109"/>
      <c r="I68" s="109"/>
    </row>
    <row r="69" spans="1:9" ht="18" x14ac:dyDescent="0.25">
      <c r="A69" s="244"/>
      <c r="B69" s="245"/>
      <c r="C69" s="245"/>
      <c r="D69" s="245"/>
      <c r="E69" s="245"/>
      <c r="F69" s="245"/>
      <c r="G69" s="246"/>
      <c r="H69" s="109"/>
      <c r="I69" s="109"/>
    </row>
    <row r="70" spans="1:9" ht="18" x14ac:dyDescent="0.25">
      <c r="A70" s="247" t="s">
        <v>188</v>
      </c>
      <c r="B70" s="248"/>
      <c r="C70" s="248"/>
      <c r="D70" s="248"/>
      <c r="E70" s="248"/>
      <c r="F70" s="248"/>
      <c r="G70" s="249">
        <f>G11</f>
        <v>78.562839999999994</v>
      </c>
      <c r="H70" s="109"/>
      <c r="I70" s="109"/>
    </row>
    <row r="71" spans="1:9" ht="18" x14ac:dyDescent="0.25">
      <c r="A71" s="247" t="s">
        <v>189</v>
      </c>
      <c r="B71" s="248"/>
      <c r="C71" s="248"/>
      <c r="D71" s="248"/>
      <c r="E71" s="248"/>
      <c r="F71" s="248"/>
      <c r="G71" s="250">
        <f>G22</f>
        <v>20</v>
      </c>
      <c r="H71" s="109"/>
      <c r="I71" s="109"/>
    </row>
    <row r="72" spans="1:9" ht="18" x14ac:dyDescent="0.25">
      <c r="A72" s="247" t="s">
        <v>190</v>
      </c>
      <c r="B72" s="248"/>
      <c r="C72" s="248"/>
      <c r="D72" s="248"/>
      <c r="E72" s="248"/>
      <c r="F72" s="248"/>
      <c r="G72" s="249">
        <f>G70*G71</f>
        <v>1571.2567999999999</v>
      </c>
      <c r="H72" s="109"/>
      <c r="I72" s="109"/>
    </row>
    <row r="73" spans="1:9" ht="18.75" thickBot="1" x14ac:dyDescent="0.3">
      <c r="A73" s="251" t="s">
        <v>191</v>
      </c>
      <c r="B73" s="252"/>
      <c r="C73" s="252"/>
      <c r="D73" s="252"/>
      <c r="E73" s="252"/>
      <c r="F73" s="252"/>
      <c r="G73" s="253">
        <f>F68/G72</f>
        <v>3.7560112627343218</v>
      </c>
      <c r="H73" s="109"/>
      <c r="I73" s="109"/>
    </row>
    <row r="74" spans="1:9" ht="15" x14ac:dyDescent="0.2">
      <c r="A74" s="109"/>
      <c r="B74" s="109"/>
      <c r="C74" s="109"/>
      <c r="D74" s="109"/>
      <c r="E74" s="109"/>
      <c r="F74" s="109"/>
      <c r="G74" s="109"/>
      <c r="H74" s="109"/>
      <c r="I74" s="109"/>
    </row>
    <row r="75" spans="1:9" ht="18" x14ac:dyDescent="0.25">
      <c r="A75" s="254" t="s">
        <v>287</v>
      </c>
      <c r="B75" s="109"/>
      <c r="C75" s="109"/>
      <c r="D75" s="109"/>
      <c r="E75" s="109"/>
      <c r="F75" s="109"/>
      <c r="G75" s="109"/>
      <c r="H75" s="109"/>
      <c r="I75" s="109"/>
    </row>
    <row r="76" spans="1:9" ht="15.75" x14ac:dyDescent="0.25">
      <c r="A76" s="255" t="s">
        <v>288</v>
      </c>
      <c r="B76" s="109"/>
      <c r="C76" s="109"/>
      <c r="D76" s="109"/>
      <c r="E76" s="109"/>
      <c r="F76" s="109"/>
      <c r="G76" s="109"/>
      <c r="H76" s="109"/>
      <c r="I76" s="109"/>
    </row>
    <row r="77" spans="1:9" ht="15.75" x14ac:dyDescent="0.25">
      <c r="A77" s="255"/>
      <c r="B77" s="109"/>
      <c r="C77" s="109"/>
      <c r="D77" s="109"/>
      <c r="E77" s="109"/>
      <c r="F77" s="109"/>
      <c r="G77" s="109"/>
      <c r="H77" s="109"/>
      <c r="I77" s="109"/>
    </row>
    <row r="78" spans="1:9" ht="15.75" x14ac:dyDescent="0.25">
      <c r="A78" s="255" t="s">
        <v>192</v>
      </c>
      <c r="B78" s="256">
        <f>G11</f>
        <v>78.562839999999994</v>
      </c>
      <c r="C78" s="256"/>
      <c r="D78" s="257" t="s">
        <v>193</v>
      </c>
      <c r="E78" s="109"/>
      <c r="F78" s="109"/>
      <c r="G78" s="109"/>
      <c r="H78" s="109"/>
      <c r="I78" s="109"/>
    </row>
    <row r="79" spans="1:9" ht="15.75" x14ac:dyDescent="0.25">
      <c r="A79" s="255" t="s">
        <v>278</v>
      </c>
      <c r="B79" s="257"/>
      <c r="C79" s="257"/>
      <c r="D79" s="257"/>
      <c r="E79" s="109"/>
      <c r="F79" s="109"/>
      <c r="G79" s="109"/>
      <c r="H79" s="109"/>
      <c r="I79" s="109"/>
    </row>
    <row r="80" spans="1:9" ht="15.75" x14ac:dyDescent="0.25">
      <c r="A80" s="255" t="s">
        <v>194</v>
      </c>
      <c r="B80" s="258"/>
      <c r="C80" s="258"/>
      <c r="D80" s="259">
        <f>H56</f>
        <v>3.7560112627343218</v>
      </c>
      <c r="E80" s="260"/>
      <c r="F80" s="309"/>
      <c r="G80" s="309"/>
      <c r="H80" s="309"/>
      <c r="I80" s="109"/>
    </row>
    <row r="81" spans="1:9" ht="10.9" customHeight="1" x14ac:dyDescent="0.25">
      <c r="A81" s="255"/>
      <c r="B81" s="102"/>
      <c r="C81" s="102"/>
      <c r="D81" s="102"/>
      <c r="E81" s="102"/>
      <c r="F81" s="309"/>
      <c r="G81" s="309"/>
      <c r="H81" s="309"/>
      <c r="I81" s="109"/>
    </row>
    <row r="82" spans="1:9" ht="18" x14ac:dyDescent="0.25">
      <c r="A82" s="261" t="s">
        <v>195</v>
      </c>
      <c r="B82" s="102"/>
      <c r="C82" s="102"/>
      <c r="D82" s="102"/>
      <c r="E82" s="102"/>
      <c r="F82" s="102"/>
      <c r="G82" s="102"/>
      <c r="H82" s="102"/>
      <c r="I82" s="109"/>
    </row>
    <row r="83" spans="1:9" ht="12" customHeight="1" x14ac:dyDescent="0.25">
      <c r="A83" s="262"/>
      <c r="B83" s="262"/>
      <c r="C83" s="262"/>
      <c r="D83" s="262"/>
      <c r="E83" s="262"/>
      <c r="F83" s="262"/>
      <c r="G83" s="262"/>
      <c r="H83" s="262"/>
      <c r="I83" s="102"/>
    </row>
    <row r="84" spans="1:9" ht="18" x14ac:dyDescent="0.25">
      <c r="A84" s="262" t="s">
        <v>196</v>
      </c>
      <c r="B84" s="262"/>
      <c r="C84" s="262"/>
      <c r="D84" s="262"/>
      <c r="E84" s="262"/>
      <c r="F84" s="262"/>
      <c r="G84" s="262"/>
      <c r="H84" s="262"/>
      <c r="I84" s="102"/>
    </row>
    <row r="85" spans="1:9" ht="18" x14ac:dyDescent="0.25">
      <c r="A85" s="262" t="s">
        <v>197</v>
      </c>
      <c r="B85" s="262"/>
      <c r="C85" s="262"/>
      <c r="D85" s="262"/>
      <c r="E85" s="262"/>
      <c r="F85" s="262"/>
      <c r="G85" s="262"/>
      <c r="H85" s="262"/>
      <c r="I85" s="102"/>
    </row>
    <row r="86" spans="1:9" ht="18" x14ac:dyDescent="0.25">
      <c r="A86" s="262" t="s">
        <v>198</v>
      </c>
      <c r="B86" s="262"/>
      <c r="C86" s="262"/>
      <c r="D86" s="262"/>
      <c r="E86" s="262"/>
      <c r="F86" s="262"/>
      <c r="G86" s="262"/>
      <c r="H86" s="262"/>
      <c r="I86" s="102"/>
    </row>
    <row r="87" spans="1:9" ht="18" x14ac:dyDescent="0.25">
      <c r="A87" s="262" t="s">
        <v>199</v>
      </c>
      <c r="B87" s="262"/>
      <c r="C87" s="262"/>
      <c r="D87" s="262"/>
      <c r="E87" s="262"/>
      <c r="F87" s="262"/>
      <c r="G87" s="262"/>
      <c r="H87" s="262"/>
      <c r="I87" s="102"/>
    </row>
    <row r="88" spans="1:9" ht="18" x14ac:dyDescent="0.25">
      <c r="A88" s="262" t="s">
        <v>200</v>
      </c>
      <c r="B88" s="262"/>
      <c r="C88" s="262"/>
      <c r="D88" s="262"/>
      <c r="E88" s="262"/>
      <c r="F88" s="262"/>
      <c r="G88" s="262"/>
      <c r="H88" s="262"/>
      <c r="I88" s="102"/>
    </row>
    <row r="89" spans="1:9" ht="18" x14ac:dyDescent="0.25">
      <c r="A89" s="262" t="s">
        <v>275</v>
      </c>
      <c r="B89" s="262" t="str">
        <f>B17</f>
        <v>Veículo no mínimo de 25 lugares</v>
      </c>
      <c r="C89" s="262"/>
      <c r="D89" s="262"/>
      <c r="E89" s="262"/>
      <c r="F89" s="262"/>
      <c r="G89" s="262"/>
      <c r="H89" s="262"/>
      <c r="I89" s="102"/>
    </row>
    <row r="90" spans="1:9" ht="18" x14ac:dyDescent="0.25">
      <c r="A90" s="262" t="s">
        <v>201</v>
      </c>
      <c r="B90" s="262"/>
      <c r="C90" s="262"/>
      <c r="D90" s="262"/>
      <c r="E90" s="262"/>
      <c r="F90" s="262"/>
      <c r="G90" s="262"/>
      <c r="H90" s="262"/>
      <c r="I90" s="102"/>
    </row>
    <row r="91" spans="1:9" ht="18" x14ac:dyDescent="0.25">
      <c r="A91" s="262" t="s">
        <v>202</v>
      </c>
      <c r="B91" s="262" t="str">
        <f>A18</f>
        <v>Veículo no máximo 15 anos de uso (fabricação acima de 2004)</v>
      </c>
      <c r="C91" s="262"/>
      <c r="D91" s="262"/>
      <c r="E91" s="262"/>
      <c r="F91" s="262"/>
      <c r="G91" s="262"/>
      <c r="H91" s="262"/>
      <c r="I91" s="102"/>
    </row>
    <row r="92" spans="1:9" ht="18" x14ac:dyDescent="0.25">
      <c r="A92" s="262" t="s">
        <v>203</v>
      </c>
      <c r="B92" s="262"/>
      <c r="C92" s="262"/>
      <c r="D92" s="262"/>
      <c r="E92" s="262"/>
      <c r="F92" s="262"/>
      <c r="G92" s="262"/>
      <c r="H92" s="262"/>
      <c r="I92" s="102"/>
    </row>
    <row r="93" spans="1:9" ht="18" x14ac:dyDescent="0.25">
      <c r="A93" s="262" t="s">
        <v>266</v>
      </c>
      <c r="B93" s="262"/>
      <c r="C93" s="262"/>
      <c r="D93" s="262"/>
      <c r="E93" s="262"/>
      <c r="F93" s="262"/>
      <c r="G93" s="262"/>
      <c r="H93" s="262"/>
      <c r="I93" s="102"/>
    </row>
    <row r="94" spans="1:9" ht="18" x14ac:dyDescent="0.25">
      <c r="A94" s="262" t="s">
        <v>276</v>
      </c>
      <c r="B94" s="262"/>
      <c r="C94" s="262"/>
      <c r="D94" s="262"/>
      <c r="E94" s="262"/>
      <c r="F94" s="262"/>
      <c r="G94" s="262"/>
      <c r="H94" s="262"/>
      <c r="I94" s="102"/>
    </row>
    <row r="95" spans="1:9" ht="18" x14ac:dyDescent="0.25">
      <c r="A95" s="262" t="s">
        <v>204</v>
      </c>
      <c r="B95" s="262"/>
      <c r="C95" s="262"/>
      <c r="D95" s="262"/>
      <c r="E95" s="262"/>
      <c r="F95" s="262"/>
      <c r="G95" s="262"/>
      <c r="H95" s="262"/>
      <c r="I95" s="102"/>
    </row>
    <row r="96" spans="1:9" ht="18" x14ac:dyDescent="0.25">
      <c r="A96" s="262" t="s">
        <v>205</v>
      </c>
      <c r="B96" s="262"/>
      <c r="C96" s="262"/>
      <c r="D96" s="262"/>
      <c r="E96" s="262"/>
      <c r="F96" s="262"/>
      <c r="G96" s="262"/>
      <c r="H96" s="262"/>
      <c r="I96" s="102"/>
    </row>
    <row r="97" spans="1:9" ht="18" x14ac:dyDescent="0.25">
      <c r="A97" s="262" t="s">
        <v>261</v>
      </c>
      <c r="B97" s="262"/>
      <c r="C97" s="262"/>
      <c r="D97" s="262"/>
      <c r="E97" s="262"/>
      <c r="F97" s="262"/>
      <c r="G97" s="262"/>
      <c r="H97" s="262"/>
      <c r="I97" s="102"/>
    </row>
    <row r="98" spans="1:9" ht="18" x14ac:dyDescent="0.25">
      <c r="A98" s="262" t="s">
        <v>206</v>
      </c>
      <c r="B98" s="262"/>
      <c r="C98" s="262"/>
      <c r="D98" s="262"/>
      <c r="E98" s="262"/>
      <c r="F98" s="262"/>
      <c r="G98" s="262"/>
      <c r="H98" s="262"/>
      <c r="I98" s="102"/>
    </row>
    <row r="99" spans="1:9" ht="18" x14ac:dyDescent="0.25">
      <c r="A99" s="262" t="s">
        <v>207</v>
      </c>
      <c r="B99" s="262"/>
      <c r="C99" s="262"/>
      <c r="D99" s="262"/>
      <c r="E99" s="262"/>
      <c r="F99" s="262"/>
      <c r="G99" s="262"/>
      <c r="H99" s="262"/>
      <c r="I99" s="102"/>
    </row>
    <row r="100" spans="1:9" ht="18" x14ac:dyDescent="0.25">
      <c r="A100" s="262" t="s">
        <v>208</v>
      </c>
      <c r="B100" s="262"/>
      <c r="C100" s="262"/>
      <c r="D100" s="262"/>
      <c r="E100" s="262"/>
      <c r="F100" s="262"/>
      <c r="G100" s="262"/>
      <c r="H100" s="262"/>
      <c r="I100" s="102"/>
    </row>
    <row r="101" spans="1:9" ht="18" x14ac:dyDescent="0.25">
      <c r="A101" s="262" t="s">
        <v>209</v>
      </c>
      <c r="B101" s="262"/>
      <c r="C101" s="262"/>
      <c r="D101" s="262"/>
      <c r="E101" s="262"/>
      <c r="F101" s="262"/>
      <c r="G101" s="262"/>
      <c r="H101" s="262"/>
      <c r="I101" s="102"/>
    </row>
    <row r="102" spans="1:9" ht="18" x14ac:dyDescent="0.25">
      <c r="A102" s="262" t="s">
        <v>210</v>
      </c>
      <c r="B102" s="262"/>
      <c r="C102" s="262"/>
      <c r="D102" s="262"/>
      <c r="E102" s="262"/>
      <c r="F102" s="262"/>
      <c r="G102" s="262"/>
      <c r="H102" s="262"/>
      <c r="I102" s="102"/>
    </row>
    <row r="103" spans="1:9" ht="18" x14ac:dyDescent="0.25">
      <c r="A103" s="262" t="s">
        <v>211</v>
      </c>
      <c r="B103" s="262"/>
      <c r="C103" s="262"/>
      <c r="D103" s="262"/>
      <c r="E103" s="262"/>
      <c r="F103" s="262"/>
      <c r="G103" s="262"/>
      <c r="H103" s="262"/>
      <c r="I103" s="102"/>
    </row>
    <row r="104" spans="1:9" ht="18" x14ac:dyDescent="0.25">
      <c r="A104" s="262" t="s">
        <v>212</v>
      </c>
      <c r="B104" s="262"/>
      <c r="C104" s="262"/>
      <c r="D104" s="262"/>
      <c r="E104" s="262"/>
      <c r="F104" s="262"/>
      <c r="G104" s="263"/>
      <c r="H104" s="262"/>
      <c r="I104" s="102"/>
    </row>
    <row r="105" spans="1:9" ht="18" x14ac:dyDescent="0.25">
      <c r="A105" s="262" t="s">
        <v>213</v>
      </c>
      <c r="B105" s="262"/>
      <c r="C105" s="262"/>
      <c r="D105" s="262"/>
      <c r="E105" s="262"/>
      <c r="F105" s="262"/>
      <c r="G105" s="262"/>
      <c r="H105" s="262"/>
      <c r="I105" s="102"/>
    </row>
    <row r="106" spans="1:9" ht="18" x14ac:dyDescent="0.25">
      <c r="A106" s="262" t="s">
        <v>214</v>
      </c>
      <c r="B106" s="262"/>
      <c r="C106" s="262"/>
      <c r="D106" s="262"/>
      <c r="E106" s="262"/>
      <c r="F106" s="262"/>
      <c r="G106" s="262"/>
      <c r="H106" s="262"/>
      <c r="I106" s="102"/>
    </row>
    <row r="107" spans="1:9" ht="18" x14ac:dyDescent="0.25">
      <c r="A107" s="262" t="s">
        <v>215</v>
      </c>
      <c r="B107" s="262"/>
      <c r="C107" s="262"/>
      <c r="D107" s="262"/>
      <c r="E107" s="262"/>
      <c r="F107" s="262"/>
      <c r="G107" s="262"/>
      <c r="H107" s="262"/>
      <c r="I107" s="102"/>
    </row>
    <row r="108" spans="1:9" ht="18" x14ac:dyDescent="0.25">
      <c r="A108" s="262" t="s">
        <v>262</v>
      </c>
      <c r="B108" s="262"/>
      <c r="C108" s="262"/>
      <c r="D108" s="262"/>
      <c r="E108" s="262"/>
      <c r="F108" s="262"/>
      <c r="G108" s="262"/>
      <c r="H108" s="262"/>
      <c r="I108" s="102"/>
    </row>
    <row r="109" spans="1:9" ht="18" x14ac:dyDescent="0.25">
      <c r="A109" s="262" t="s">
        <v>270</v>
      </c>
      <c r="B109" s="262"/>
      <c r="C109" s="262"/>
      <c r="D109" s="262"/>
      <c r="E109" s="262"/>
      <c r="F109" s="262"/>
      <c r="G109" s="262"/>
      <c r="H109" s="262"/>
      <c r="I109" s="102"/>
    </row>
    <row r="110" spans="1:9" ht="18" x14ac:dyDescent="0.25">
      <c r="A110" s="262" t="s">
        <v>216</v>
      </c>
      <c r="B110" s="262"/>
      <c r="C110" s="262"/>
      <c r="D110" s="262"/>
      <c r="E110" s="262"/>
      <c r="F110" s="262"/>
      <c r="G110" s="262"/>
      <c r="H110" s="262"/>
      <c r="I110" s="102"/>
    </row>
    <row r="111" spans="1:9" ht="18" x14ac:dyDescent="0.25">
      <c r="A111" s="262" t="s">
        <v>217</v>
      </c>
      <c r="B111" s="262"/>
      <c r="C111" s="262"/>
      <c r="D111" s="262"/>
      <c r="E111" s="262"/>
      <c r="F111" s="262"/>
      <c r="G111" s="262"/>
      <c r="H111" s="262"/>
      <c r="I111" s="102"/>
    </row>
    <row r="112" spans="1:9" ht="18" x14ac:dyDescent="0.25">
      <c r="A112" s="262" t="s">
        <v>218</v>
      </c>
      <c r="B112" s="262"/>
      <c r="C112" s="262"/>
      <c r="D112" s="262"/>
      <c r="E112" s="262"/>
      <c r="F112" s="262"/>
      <c r="G112" s="262"/>
      <c r="H112" s="262"/>
      <c r="I112" s="102"/>
    </row>
    <row r="113" spans="1:9" ht="18" x14ac:dyDescent="0.25">
      <c r="A113" s="262" t="s">
        <v>219</v>
      </c>
      <c r="B113" s="262"/>
      <c r="C113" s="262"/>
      <c r="D113" s="262"/>
      <c r="E113" s="262"/>
      <c r="F113" s="262"/>
      <c r="G113" s="262"/>
      <c r="H113" s="262"/>
      <c r="I113" s="102"/>
    </row>
    <row r="114" spans="1:9" ht="18" x14ac:dyDescent="0.25">
      <c r="A114" s="262" t="s">
        <v>220</v>
      </c>
      <c r="B114" s="262"/>
      <c r="C114" s="262"/>
      <c r="D114" s="262"/>
      <c r="E114" s="262"/>
      <c r="F114" s="262"/>
      <c r="G114" s="262"/>
      <c r="H114" s="262"/>
      <c r="I114" s="102"/>
    </row>
    <row r="115" spans="1:9" ht="18" x14ac:dyDescent="0.25">
      <c r="A115" s="262" t="s">
        <v>221</v>
      </c>
      <c r="B115" s="262"/>
      <c r="C115" s="262"/>
      <c r="D115" s="262"/>
      <c r="E115" s="262"/>
      <c r="F115" s="262"/>
      <c r="G115" s="262"/>
      <c r="H115" s="262"/>
      <c r="I115" s="102"/>
    </row>
    <row r="116" spans="1:9" ht="18" x14ac:dyDescent="0.25">
      <c r="A116" s="262" t="s">
        <v>222</v>
      </c>
      <c r="B116" s="262"/>
      <c r="C116" s="262"/>
      <c r="D116" s="262"/>
      <c r="E116" s="262"/>
      <c r="F116" s="262"/>
      <c r="G116" s="262"/>
      <c r="H116" s="262"/>
      <c r="I116" s="102"/>
    </row>
    <row r="117" spans="1:9" ht="18" x14ac:dyDescent="0.25">
      <c r="A117" s="262" t="s">
        <v>223</v>
      </c>
      <c r="B117" s="262"/>
      <c r="C117" s="262"/>
      <c r="D117" s="262"/>
      <c r="E117" s="262"/>
      <c r="F117" s="262"/>
      <c r="G117" s="262"/>
      <c r="H117" s="262"/>
      <c r="I117" s="102"/>
    </row>
    <row r="118" spans="1:9" ht="18" x14ac:dyDescent="0.25">
      <c r="A118" s="262" t="s">
        <v>282</v>
      </c>
      <c r="B118" s="262"/>
      <c r="C118" s="262"/>
      <c r="D118" s="262"/>
      <c r="E118" s="262"/>
      <c r="F118" s="262"/>
      <c r="G118" s="262"/>
      <c r="H118" s="262"/>
      <c r="I118" s="102"/>
    </row>
    <row r="119" spans="1:9" ht="18" x14ac:dyDescent="0.25">
      <c r="A119" s="262" t="s">
        <v>224</v>
      </c>
      <c r="B119" s="102"/>
      <c r="C119" s="102"/>
      <c r="D119" s="102"/>
      <c r="E119" s="102"/>
      <c r="F119" s="102"/>
      <c r="G119" s="102"/>
      <c r="H119" s="102"/>
      <c r="I119" s="102"/>
    </row>
    <row r="120" spans="1:9" ht="18" x14ac:dyDescent="0.25">
      <c r="A120" s="262" t="s">
        <v>225</v>
      </c>
      <c r="B120" s="102"/>
      <c r="C120" s="102"/>
      <c r="D120" s="102"/>
      <c r="E120" s="102"/>
      <c r="F120" s="102"/>
      <c r="G120" s="102"/>
      <c r="H120" s="102"/>
      <c r="I120" s="102"/>
    </row>
    <row r="121" spans="1:9" ht="18" x14ac:dyDescent="0.25">
      <c r="A121" s="262" t="s">
        <v>265</v>
      </c>
      <c r="B121" s="102"/>
      <c r="C121" s="102"/>
      <c r="D121" s="102"/>
      <c r="E121" s="102"/>
      <c r="F121" s="102"/>
      <c r="G121" s="102"/>
      <c r="H121" s="102"/>
      <c r="I121" s="102"/>
    </row>
    <row r="122" spans="1:9" ht="18" x14ac:dyDescent="0.25">
      <c r="A122" s="262" t="s">
        <v>226</v>
      </c>
      <c r="B122" s="102"/>
      <c r="C122" s="102"/>
      <c r="D122" s="102"/>
      <c r="E122" s="102"/>
      <c r="F122" s="102"/>
      <c r="G122" s="102"/>
      <c r="H122" s="102"/>
      <c r="I122" s="102"/>
    </row>
    <row r="123" spans="1:9" ht="18" x14ac:dyDescent="0.25">
      <c r="A123" s="262" t="s">
        <v>227</v>
      </c>
      <c r="B123" s="102"/>
      <c r="C123" s="102"/>
      <c r="D123" s="102"/>
      <c r="E123" s="102"/>
      <c r="F123" s="102"/>
      <c r="G123" s="102"/>
      <c r="H123" s="102"/>
      <c r="I123" s="102"/>
    </row>
    <row r="124" spans="1:9" ht="18" x14ac:dyDescent="0.25">
      <c r="A124" s="262" t="s">
        <v>228</v>
      </c>
      <c r="B124" s="102"/>
      <c r="C124" s="102"/>
      <c r="D124" s="102"/>
      <c r="E124" s="102"/>
      <c r="F124" s="102"/>
      <c r="G124" s="102"/>
      <c r="H124" s="102"/>
      <c r="I124" s="102"/>
    </row>
    <row r="125" spans="1:9" ht="18" x14ac:dyDescent="0.25">
      <c r="A125" s="262" t="s">
        <v>229</v>
      </c>
      <c r="B125" s="102"/>
      <c r="C125" s="102"/>
      <c r="D125" s="102"/>
      <c r="E125" s="102"/>
      <c r="F125" s="102"/>
      <c r="G125" s="102"/>
      <c r="H125" s="102"/>
      <c r="I125" s="102"/>
    </row>
    <row r="126" spans="1:9" ht="18" x14ac:dyDescent="0.25">
      <c r="A126" s="262" t="s">
        <v>230</v>
      </c>
      <c r="B126" s="102"/>
      <c r="C126" s="102"/>
      <c r="D126" s="102"/>
      <c r="E126" s="102"/>
      <c r="F126" s="102"/>
      <c r="G126" s="102"/>
      <c r="H126" s="102"/>
      <c r="I126" s="102"/>
    </row>
    <row r="127" spans="1:9" ht="18" x14ac:dyDescent="0.25">
      <c r="A127" s="262" t="s">
        <v>231</v>
      </c>
      <c r="B127" s="102"/>
      <c r="C127" s="102"/>
      <c r="D127" s="102"/>
      <c r="E127" s="102"/>
      <c r="F127" s="102"/>
      <c r="G127" s="102"/>
      <c r="H127" s="102"/>
      <c r="I127" s="102"/>
    </row>
    <row r="128" spans="1:9" ht="16.5" x14ac:dyDescent="0.25">
      <c r="A128" s="264"/>
      <c r="B128" s="102"/>
      <c r="C128" s="102"/>
      <c r="D128" s="102"/>
      <c r="E128" s="102"/>
      <c r="F128" s="102"/>
      <c r="G128" s="102"/>
      <c r="H128" s="102"/>
      <c r="I128" s="102"/>
    </row>
    <row r="129" spans="1:9" ht="18" x14ac:dyDescent="0.25">
      <c r="A129" s="262" t="s">
        <v>283</v>
      </c>
      <c r="B129" s="102"/>
      <c r="C129" s="102"/>
      <c r="D129" s="102"/>
      <c r="E129" s="102"/>
      <c r="F129" s="102"/>
      <c r="G129" s="102"/>
      <c r="H129" s="102"/>
      <c r="I129" s="102"/>
    </row>
    <row r="130" spans="1:9" ht="18" x14ac:dyDescent="0.25">
      <c r="A130" s="262"/>
      <c r="B130" s="102"/>
      <c r="C130" s="102"/>
      <c r="D130" s="102"/>
      <c r="E130" s="102"/>
      <c r="F130" s="102"/>
      <c r="G130" s="102"/>
      <c r="H130" s="102"/>
      <c r="I130" s="102"/>
    </row>
    <row r="131" spans="1:9" ht="18" x14ac:dyDescent="0.25">
      <c r="A131" s="262"/>
      <c r="B131" s="102"/>
      <c r="C131" s="102"/>
      <c r="D131" s="102"/>
      <c r="E131" s="102"/>
      <c r="F131" s="102"/>
      <c r="G131" s="102"/>
      <c r="H131" s="102"/>
      <c r="I131" s="102"/>
    </row>
    <row r="132" spans="1:9" ht="18" x14ac:dyDescent="0.25">
      <c r="A132" s="262" t="s">
        <v>232</v>
      </c>
      <c r="B132" s="102"/>
      <c r="C132" s="102"/>
      <c r="D132" s="102"/>
      <c r="E132" s="102"/>
      <c r="F132" s="102"/>
      <c r="G132" s="102"/>
      <c r="H132" s="102"/>
      <c r="I132" s="102"/>
    </row>
    <row r="133" spans="1:9" x14ac:dyDescent="0.2">
      <c r="A133" s="102"/>
      <c r="B133" s="102"/>
      <c r="C133" s="102"/>
      <c r="D133" s="102"/>
      <c r="E133" s="102"/>
      <c r="F133" s="102"/>
      <c r="G133" s="102"/>
      <c r="H133" s="102"/>
      <c r="I133" s="102"/>
    </row>
    <row r="134" spans="1:9" x14ac:dyDescent="0.2">
      <c r="A134" s="102"/>
      <c r="B134" s="102"/>
      <c r="C134" s="102"/>
      <c r="D134" s="102"/>
      <c r="E134" s="102"/>
      <c r="F134" s="102"/>
      <c r="G134" s="102"/>
      <c r="H134" s="102"/>
      <c r="I134" s="102"/>
    </row>
    <row r="135" spans="1:9" x14ac:dyDescent="0.2">
      <c r="A135" s="102"/>
      <c r="B135" s="102"/>
      <c r="C135" s="102"/>
      <c r="D135" s="102"/>
      <c r="E135" s="102"/>
      <c r="F135" s="102"/>
      <c r="G135" s="102"/>
      <c r="H135" s="102"/>
      <c r="I135" s="102"/>
    </row>
  </sheetData>
  <mergeCells count="19">
    <mergeCell ref="F80:H81"/>
    <mergeCell ref="A21:F21"/>
    <mergeCell ref="A22:F22"/>
    <mergeCell ref="A30:H30"/>
    <mergeCell ref="A45:G45"/>
    <mergeCell ref="A47:G47"/>
    <mergeCell ref="A58:G58"/>
    <mergeCell ref="A20:F20"/>
    <mergeCell ref="A1:H1"/>
    <mergeCell ref="A2:H2"/>
    <mergeCell ref="A3:H3"/>
    <mergeCell ref="A4:H4"/>
    <mergeCell ref="A11:F11"/>
    <mergeCell ref="A14:F14"/>
    <mergeCell ref="A15:F15"/>
    <mergeCell ref="A16:F16"/>
    <mergeCell ref="B17:G17"/>
    <mergeCell ref="A18:F18"/>
    <mergeCell ref="A19:F19"/>
  </mergeCells>
  <pageMargins left="0.51181102362204722" right="0.51181102362204722" top="0.78740157480314965" bottom="0.78740157480314965" header="0.31496062992125984" footer="0.31496062992125984"/>
  <pageSetup paperSize="9" scale="63" fitToHeight="2" orientation="portrait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9"/>
  <sheetViews>
    <sheetView tabSelected="1" workbookViewId="0"/>
  </sheetViews>
  <sheetFormatPr defaultColWidth="9.140625" defaultRowHeight="12.75" x14ac:dyDescent="0.2"/>
  <cols>
    <col min="1" max="1" width="13.5703125" style="1" customWidth="1"/>
    <col min="2" max="2" width="39.5703125" style="1" bestFit="1" customWidth="1"/>
    <col min="3" max="3" width="20.85546875" style="1" customWidth="1"/>
    <col min="4" max="4" width="37.28515625" style="16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6" t="s">
        <v>84</v>
      </c>
    </row>
    <row r="2" spans="1:12" x14ac:dyDescent="0.2">
      <c r="A2" s="96" t="s">
        <v>272</v>
      </c>
    </row>
    <row r="3" spans="1:12" s="2" customFormat="1" ht="15.6" customHeight="1" x14ac:dyDescent="0.2">
      <c r="B3" s="9"/>
      <c r="C3" s="9"/>
      <c r="D3" s="9"/>
      <c r="E3" s="9"/>
      <c r="F3" s="9"/>
      <c r="G3" s="4"/>
    </row>
    <row r="4" spans="1:12" s="2" customFormat="1" ht="15.6" hidden="1" customHeight="1" x14ac:dyDescent="0.2">
      <c r="A4" s="98" t="s">
        <v>100</v>
      </c>
      <c r="B4" s="9"/>
      <c r="C4" s="9"/>
      <c r="D4" s="9"/>
      <c r="E4" s="9"/>
      <c r="F4" s="9"/>
      <c r="G4" s="4"/>
    </row>
    <row r="5" spans="1:12" s="2" customFormat="1" ht="16.5" customHeight="1" x14ac:dyDescent="0.2">
      <c r="A5" s="99" t="s">
        <v>103</v>
      </c>
      <c r="B5" s="3"/>
      <c r="C5" s="3"/>
      <c r="D5" s="4"/>
      <c r="E5" s="4"/>
      <c r="F5" s="4"/>
      <c r="G5" s="4"/>
    </row>
    <row r="6" spans="1:12" s="2" customFormat="1" ht="16.5" customHeight="1" x14ac:dyDescent="0.2">
      <c r="A6" s="99" t="s">
        <v>104</v>
      </c>
      <c r="B6" s="3"/>
      <c r="C6" s="3"/>
      <c r="D6" s="4"/>
      <c r="E6" s="4"/>
      <c r="F6" s="4"/>
      <c r="G6" s="4"/>
    </row>
    <row r="7" spans="1:12" ht="13.5" thickBot="1" x14ac:dyDescent="0.25"/>
    <row r="8" spans="1:12" ht="18" x14ac:dyDescent="0.2">
      <c r="A8" s="335" t="s">
        <v>91</v>
      </c>
      <c r="B8" s="336"/>
      <c r="C8" s="337"/>
      <c r="D8" s="15"/>
      <c r="E8" s="15"/>
      <c r="F8" s="15"/>
    </row>
    <row r="9" spans="1:12" ht="14.25" x14ac:dyDescent="0.2">
      <c r="A9" s="21" t="s">
        <v>29</v>
      </c>
      <c r="B9" s="22" t="s">
        <v>30</v>
      </c>
      <c r="C9" s="23" t="s">
        <v>31</v>
      </c>
      <c r="D9" s="24"/>
    </row>
    <row r="10" spans="1:12" ht="14.25" x14ac:dyDescent="0.2">
      <c r="A10" s="21" t="s">
        <v>32</v>
      </c>
      <c r="B10" s="22" t="s">
        <v>7</v>
      </c>
      <c r="C10" s="25"/>
      <c r="D10" s="24"/>
      <c r="F10" s="16"/>
      <c r="G10" s="16"/>
      <c r="H10" s="16"/>
      <c r="I10" s="16"/>
      <c r="J10" s="16"/>
      <c r="K10" s="16"/>
      <c r="L10" s="16"/>
    </row>
    <row r="11" spans="1:12" ht="14.25" x14ac:dyDescent="0.2">
      <c r="A11" s="21" t="s">
        <v>33</v>
      </c>
      <c r="B11" s="22" t="s">
        <v>34</v>
      </c>
      <c r="C11" s="25"/>
      <c r="D11" s="24"/>
      <c r="F11" s="16"/>
      <c r="G11" s="16"/>
      <c r="H11" s="16"/>
      <c r="I11" s="16"/>
      <c r="J11" s="16"/>
      <c r="K11" s="16"/>
      <c r="L11" s="16"/>
    </row>
    <row r="12" spans="1:12" ht="14.25" x14ac:dyDescent="0.2">
      <c r="A12" s="21" t="s">
        <v>35</v>
      </c>
      <c r="B12" s="22" t="s">
        <v>36</v>
      </c>
      <c r="C12" s="25"/>
      <c r="D12" s="24"/>
      <c r="F12" s="16"/>
      <c r="G12" s="16"/>
      <c r="H12" s="16"/>
      <c r="I12" s="16"/>
      <c r="J12" s="16"/>
      <c r="K12" s="16"/>
      <c r="L12" s="16"/>
    </row>
    <row r="13" spans="1:12" ht="14.25" x14ac:dyDescent="0.2">
      <c r="A13" s="21" t="s">
        <v>37</v>
      </c>
      <c r="B13" s="22" t="s">
        <v>38</v>
      </c>
      <c r="C13" s="25"/>
      <c r="D13" s="24"/>
      <c r="F13" s="16"/>
      <c r="G13" s="16"/>
      <c r="H13" s="16"/>
      <c r="I13" s="16"/>
      <c r="J13" s="16"/>
      <c r="K13" s="16"/>
      <c r="L13" s="16"/>
    </row>
    <row r="14" spans="1:12" ht="14.25" x14ac:dyDescent="0.2">
      <c r="A14" s="21" t="s">
        <v>39</v>
      </c>
      <c r="B14" s="22" t="s">
        <v>40</v>
      </c>
      <c r="C14" s="25"/>
      <c r="D14" s="24"/>
      <c r="F14" s="16"/>
      <c r="G14" s="16"/>
      <c r="H14" s="16"/>
      <c r="I14" s="16"/>
      <c r="J14" s="16"/>
      <c r="K14" s="16"/>
      <c r="L14" s="16"/>
    </row>
    <row r="15" spans="1:12" ht="14.25" x14ac:dyDescent="0.2">
      <c r="A15" s="21" t="s">
        <v>41</v>
      </c>
      <c r="B15" s="22" t="s">
        <v>42</v>
      </c>
      <c r="C15" s="25"/>
      <c r="D15" s="24"/>
      <c r="F15" s="16"/>
      <c r="G15" s="16"/>
      <c r="H15" s="16"/>
      <c r="I15" s="16"/>
      <c r="J15" s="16"/>
      <c r="K15" s="16"/>
      <c r="L15" s="16"/>
    </row>
    <row r="16" spans="1:12" ht="14.25" x14ac:dyDescent="0.2">
      <c r="A16" s="21" t="s">
        <v>43</v>
      </c>
      <c r="B16" s="22" t="s">
        <v>44</v>
      </c>
      <c r="C16" s="25"/>
      <c r="D16" s="24"/>
      <c r="F16" s="16"/>
      <c r="G16" s="16"/>
      <c r="H16" s="16"/>
      <c r="I16" s="16"/>
      <c r="J16" s="16"/>
      <c r="K16" s="16"/>
      <c r="L16" s="16"/>
    </row>
    <row r="17" spans="1:12" ht="14.25" x14ac:dyDescent="0.2">
      <c r="A17" s="21" t="s">
        <v>45</v>
      </c>
      <c r="B17" s="22" t="s">
        <v>8</v>
      </c>
      <c r="C17" s="25">
        <v>0.08</v>
      </c>
      <c r="D17" s="26"/>
      <c r="F17" s="16"/>
      <c r="G17" s="16"/>
      <c r="H17" s="16"/>
      <c r="I17" s="16"/>
      <c r="J17" s="16"/>
      <c r="K17" s="16"/>
      <c r="L17" s="16"/>
    </row>
    <row r="18" spans="1:12" ht="15" x14ac:dyDescent="0.2">
      <c r="A18" s="21" t="s">
        <v>46</v>
      </c>
      <c r="B18" s="27" t="s">
        <v>47</v>
      </c>
      <c r="C18" s="28">
        <f>SUM(C10:C17)</f>
        <v>0.08</v>
      </c>
      <c r="D18" s="26"/>
      <c r="F18" s="16"/>
      <c r="G18" s="16"/>
      <c r="H18" s="16"/>
      <c r="I18" s="16"/>
      <c r="J18" s="16"/>
      <c r="K18" s="16"/>
      <c r="L18" s="16"/>
    </row>
    <row r="19" spans="1:12" ht="15" x14ac:dyDescent="0.2">
      <c r="A19" s="29"/>
      <c r="B19" s="30"/>
      <c r="C19" s="31"/>
      <c r="D19" s="26"/>
      <c r="F19" s="16"/>
      <c r="G19" s="16"/>
      <c r="H19" s="16"/>
      <c r="I19" s="16"/>
      <c r="J19" s="16"/>
      <c r="K19" s="16"/>
      <c r="L19" s="16"/>
    </row>
    <row r="20" spans="1:12" ht="14.25" x14ac:dyDescent="0.2">
      <c r="A20" s="21" t="s">
        <v>48</v>
      </c>
      <c r="B20" s="32" t="s">
        <v>49</v>
      </c>
      <c r="C20" s="25">
        <v>6.5699999999999995E-2</v>
      </c>
      <c r="D20" s="26"/>
      <c r="F20" s="16"/>
      <c r="G20" s="16"/>
      <c r="H20" s="16"/>
      <c r="I20" s="16"/>
      <c r="J20" s="16"/>
      <c r="K20" s="16"/>
      <c r="L20" s="16"/>
    </row>
    <row r="21" spans="1:12" ht="14.25" x14ac:dyDescent="0.2">
      <c r="A21" s="21" t="s">
        <v>50</v>
      </c>
      <c r="B21" s="32" t="s">
        <v>51</v>
      </c>
      <c r="C21" s="25">
        <v>8.3299999999999999E-2</v>
      </c>
      <c r="D21" s="26"/>
      <c r="F21" s="16"/>
      <c r="G21" s="16"/>
      <c r="H21" s="16"/>
      <c r="I21" s="16"/>
      <c r="J21" s="16"/>
      <c r="K21" s="16"/>
      <c r="L21" s="16"/>
    </row>
    <row r="22" spans="1:12" ht="14.25" x14ac:dyDescent="0.2">
      <c r="A22" s="21" t="s">
        <v>89</v>
      </c>
      <c r="B22" s="32" t="s">
        <v>53</v>
      </c>
      <c r="C22" s="25">
        <v>5.9999999999999995E-4</v>
      </c>
      <c r="D22" s="26"/>
      <c r="F22" s="16"/>
      <c r="G22" s="16"/>
      <c r="H22" s="16"/>
      <c r="I22" s="16"/>
      <c r="J22" s="16"/>
      <c r="K22" s="16"/>
      <c r="L22" s="16"/>
    </row>
    <row r="23" spans="1:12" ht="14.25" x14ac:dyDescent="0.2">
      <c r="A23" s="21" t="s">
        <v>52</v>
      </c>
      <c r="B23" s="32" t="s">
        <v>55</v>
      </c>
      <c r="C23" s="25">
        <v>8.2000000000000007E-3</v>
      </c>
      <c r="D23" s="26"/>
      <c r="F23" s="16"/>
      <c r="G23" s="16"/>
      <c r="H23" s="16"/>
      <c r="I23" s="16"/>
      <c r="J23" s="16"/>
      <c r="K23" s="16"/>
      <c r="L23" s="16"/>
    </row>
    <row r="24" spans="1:12" ht="14.25" x14ac:dyDescent="0.2">
      <c r="A24" s="21" t="s">
        <v>54</v>
      </c>
      <c r="B24" s="32" t="s">
        <v>57</v>
      </c>
      <c r="C24" s="25">
        <v>3.0999999999999999E-3</v>
      </c>
      <c r="D24" s="26"/>
      <c r="F24" s="16"/>
      <c r="G24" s="16"/>
      <c r="H24" s="16"/>
      <c r="I24" s="16"/>
      <c r="J24" s="16"/>
      <c r="K24" s="16"/>
      <c r="L24" s="16"/>
    </row>
    <row r="25" spans="1:12" ht="14.25" x14ac:dyDescent="0.2">
      <c r="A25" s="21" t="s">
        <v>56</v>
      </c>
      <c r="B25" s="32" t="s">
        <v>58</v>
      </c>
      <c r="C25" s="25">
        <v>1.66E-2</v>
      </c>
      <c r="D25" s="26"/>
      <c r="F25" s="16"/>
      <c r="G25" s="16"/>
      <c r="H25" s="16"/>
      <c r="I25" s="16"/>
      <c r="J25" s="16"/>
      <c r="K25" s="16"/>
      <c r="L25" s="16"/>
    </row>
    <row r="26" spans="1:12" ht="15" x14ac:dyDescent="0.2">
      <c r="A26" s="21" t="s">
        <v>59</v>
      </c>
      <c r="B26" s="27" t="s">
        <v>60</v>
      </c>
      <c r="C26" s="28">
        <f>SUM(C20:C25)</f>
        <v>0.17749999999999999</v>
      </c>
      <c r="D26" s="33"/>
      <c r="F26" s="16"/>
      <c r="G26" s="16"/>
      <c r="H26" s="16"/>
      <c r="I26" s="16"/>
      <c r="J26" s="16"/>
      <c r="K26" s="16"/>
      <c r="L26" s="16"/>
    </row>
    <row r="27" spans="1:12" ht="15" x14ac:dyDescent="0.2">
      <c r="A27" s="29"/>
      <c r="B27" s="30"/>
      <c r="C27" s="31"/>
      <c r="D27" s="33"/>
      <c r="F27" s="16"/>
      <c r="G27" s="16"/>
      <c r="H27" s="16"/>
      <c r="I27" s="16"/>
      <c r="J27" s="16"/>
      <c r="K27" s="16"/>
      <c r="L27" s="16"/>
    </row>
    <row r="28" spans="1:12" ht="14.25" x14ac:dyDescent="0.2">
      <c r="A28" s="21" t="s">
        <v>61</v>
      </c>
      <c r="B28" s="22" t="s">
        <v>62</v>
      </c>
      <c r="C28" s="25">
        <v>2.9000000000000001E-2</v>
      </c>
      <c r="D28" s="26"/>
      <c r="E28" s="34"/>
      <c r="F28" s="16"/>
      <c r="G28" s="16"/>
      <c r="H28" s="16"/>
      <c r="I28" s="16"/>
      <c r="J28" s="16"/>
      <c r="K28" s="16"/>
      <c r="L28" s="16"/>
    </row>
    <row r="29" spans="1:12" ht="14.25" x14ac:dyDescent="0.2">
      <c r="A29" s="21" t="s">
        <v>88</v>
      </c>
      <c r="B29" s="22" t="s">
        <v>64</v>
      </c>
      <c r="C29" s="25">
        <v>4.5400000000000003E-2</v>
      </c>
      <c r="D29" s="26"/>
      <c r="F29" s="16"/>
      <c r="G29" s="16"/>
      <c r="H29" s="35"/>
      <c r="I29" s="16"/>
      <c r="J29" s="16"/>
      <c r="K29" s="16"/>
      <c r="L29" s="16"/>
    </row>
    <row r="30" spans="1:12" ht="14.25" x14ac:dyDescent="0.2">
      <c r="A30" s="21" t="s">
        <v>63</v>
      </c>
      <c r="B30" s="22" t="s">
        <v>66</v>
      </c>
      <c r="C30" s="25">
        <f>C28*C29</f>
        <v>1.3166000000000002E-3</v>
      </c>
      <c r="D30" s="26"/>
      <c r="E30" s="34"/>
      <c r="F30" s="16"/>
      <c r="G30" s="16"/>
      <c r="H30" s="16"/>
      <c r="I30" s="16"/>
      <c r="J30" s="16"/>
      <c r="K30" s="16"/>
      <c r="L30" s="16"/>
    </row>
    <row r="31" spans="1:12" ht="14.25" x14ac:dyDescent="0.2">
      <c r="A31" s="21" t="s">
        <v>65</v>
      </c>
      <c r="B31" s="22" t="s">
        <v>68</v>
      </c>
      <c r="C31" s="25">
        <v>3.15E-2</v>
      </c>
      <c r="D31" s="26"/>
      <c r="F31" s="16"/>
      <c r="G31" s="36"/>
      <c r="H31" s="16"/>
      <c r="I31" s="16"/>
      <c r="J31" s="16"/>
      <c r="K31" s="16"/>
      <c r="L31" s="16"/>
    </row>
    <row r="32" spans="1:12" ht="14.25" x14ac:dyDescent="0.2">
      <c r="A32" s="21" t="s">
        <v>67</v>
      </c>
      <c r="B32" s="22" t="s">
        <v>69</v>
      </c>
      <c r="C32" s="25">
        <v>2E-3</v>
      </c>
      <c r="D32" s="26"/>
      <c r="F32" s="16"/>
      <c r="G32" s="16"/>
      <c r="H32" s="16"/>
      <c r="I32" s="16"/>
      <c r="J32" s="16"/>
      <c r="K32" s="16"/>
      <c r="L32" s="16"/>
    </row>
    <row r="33" spans="1:12" ht="15" x14ac:dyDescent="0.2">
      <c r="A33" s="21" t="s">
        <v>70</v>
      </c>
      <c r="B33" s="27" t="s">
        <v>71</v>
      </c>
      <c r="C33" s="28">
        <f>SUM(C28:C32)</f>
        <v>0.10921660000000001</v>
      </c>
      <c r="D33" s="33"/>
      <c r="F33" s="16"/>
      <c r="G33" s="16"/>
      <c r="H33" s="16"/>
      <c r="I33" s="16"/>
      <c r="J33" s="16"/>
      <c r="K33" s="16"/>
      <c r="L33" s="16"/>
    </row>
    <row r="34" spans="1:12" ht="15" x14ac:dyDescent="0.2">
      <c r="A34" s="29"/>
      <c r="B34" s="30"/>
      <c r="C34" s="31"/>
      <c r="D34" s="33"/>
      <c r="F34" s="16"/>
      <c r="G34" s="16"/>
      <c r="H34" s="16"/>
      <c r="I34" s="16"/>
      <c r="J34" s="16"/>
      <c r="K34" s="16"/>
      <c r="L34" s="16"/>
    </row>
    <row r="35" spans="1:12" ht="14.25" x14ac:dyDescent="0.2">
      <c r="A35" s="21" t="s">
        <v>72</v>
      </c>
      <c r="B35" s="22" t="s">
        <v>73</v>
      </c>
      <c r="C35" s="25">
        <f>ROUND(C18*C26,4)</f>
        <v>1.4200000000000001E-2</v>
      </c>
      <c r="D35" s="26"/>
      <c r="F35" s="16"/>
      <c r="G35" s="16"/>
      <c r="H35" s="16"/>
      <c r="I35" s="16"/>
      <c r="J35" s="16"/>
      <c r="K35" s="16"/>
      <c r="L35" s="16"/>
    </row>
    <row r="36" spans="1:12" ht="28.5" x14ac:dyDescent="0.2">
      <c r="A36" s="21" t="s">
        <v>74</v>
      </c>
      <c r="B36" s="37" t="s">
        <v>99</v>
      </c>
      <c r="C36" s="25">
        <f>ROUND((C28*C17),4)</f>
        <v>2.3E-3</v>
      </c>
      <c r="D36" s="26"/>
      <c r="F36" s="16"/>
      <c r="G36" s="16"/>
      <c r="H36" s="16"/>
      <c r="I36" s="16"/>
      <c r="J36" s="16"/>
      <c r="K36" s="16"/>
      <c r="L36" s="16"/>
    </row>
    <row r="37" spans="1:12" ht="15" x14ac:dyDescent="0.2">
      <c r="A37" s="21" t="s">
        <v>75</v>
      </c>
      <c r="B37" s="27" t="s">
        <v>76</v>
      </c>
      <c r="C37" s="28">
        <f>SUM(C35:C36)</f>
        <v>1.6500000000000001E-2</v>
      </c>
      <c r="D37" s="38"/>
      <c r="F37" s="16"/>
      <c r="G37" s="16"/>
      <c r="H37" s="16"/>
      <c r="I37" s="16"/>
      <c r="J37" s="16"/>
      <c r="K37" s="16"/>
      <c r="L37" s="16"/>
    </row>
    <row r="38" spans="1:12" ht="15.75" thickBot="1" x14ac:dyDescent="0.25">
      <c r="A38" s="39"/>
      <c r="B38" s="40" t="s">
        <v>77</v>
      </c>
      <c r="C38" s="41">
        <f>C37+C33+C26+C18</f>
        <v>0.38321660000000002</v>
      </c>
      <c r="D38" s="38"/>
      <c r="F38" s="16"/>
      <c r="G38" s="16"/>
      <c r="H38" s="16"/>
      <c r="I38" s="16"/>
      <c r="J38" s="16"/>
      <c r="K38" s="16"/>
      <c r="L38" s="16"/>
    </row>
    <row r="39" spans="1:12" ht="15" x14ac:dyDescent="0.2">
      <c r="A39" s="26"/>
      <c r="B39" s="42"/>
      <c r="C39" s="43"/>
      <c r="D39" s="44"/>
      <c r="F39" s="16"/>
      <c r="G39" s="16"/>
      <c r="H39" s="16"/>
      <c r="I39" s="16"/>
      <c r="J39" s="16"/>
      <c r="K39" s="16"/>
      <c r="L39" s="16"/>
    </row>
    <row r="40" spans="1:12" ht="14.25" x14ac:dyDescent="0.2">
      <c r="A40" s="26"/>
      <c r="B40" s="26"/>
      <c r="C40" s="45"/>
      <c r="D40" s="46"/>
      <c r="F40" s="16"/>
      <c r="G40" s="16"/>
      <c r="H40" s="16"/>
      <c r="I40" s="16"/>
      <c r="J40" s="16"/>
      <c r="K40" s="16"/>
      <c r="L40" s="16"/>
    </row>
    <row r="41" spans="1:12" ht="14.25" x14ac:dyDescent="0.2">
      <c r="A41" s="24"/>
      <c r="B41" s="24"/>
      <c r="C41" s="47"/>
      <c r="D41" s="24"/>
      <c r="F41" s="16"/>
      <c r="G41" s="16"/>
      <c r="H41" s="16"/>
      <c r="I41" s="16"/>
      <c r="J41" s="16"/>
      <c r="K41" s="16"/>
      <c r="L41" s="16"/>
    </row>
    <row r="42" spans="1:12" ht="14.25" x14ac:dyDescent="0.2">
      <c r="A42" s="24"/>
      <c r="B42" s="24"/>
      <c r="C42" s="47"/>
      <c r="D42" s="24"/>
      <c r="F42" s="16"/>
      <c r="G42" s="16"/>
      <c r="H42" s="16"/>
      <c r="I42" s="16"/>
      <c r="J42" s="16"/>
      <c r="K42" s="16"/>
      <c r="L42" s="16"/>
    </row>
    <row r="43" spans="1:12" ht="14.25" x14ac:dyDescent="0.2">
      <c r="A43" s="24"/>
      <c r="B43" s="24"/>
      <c r="C43" s="47"/>
      <c r="D43" s="24"/>
      <c r="F43" s="16"/>
      <c r="G43" s="16"/>
      <c r="H43" s="16"/>
      <c r="I43" s="16"/>
      <c r="J43" s="16"/>
      <c r="K43" s="16"/>
      <c r="L43" s="16"/>
    </row>
    <row r="44" spans="1:12" ht="15" x14ac:dyDescent="0.2">
      <c r="A44" s="24"/>
      <c r="B44" s="48"/>
      <c r="C44" s="49"/>
      <c r="D44" s="24"/>
      <c r="F44" s="16"/>
      <c r="G44" s="16"/>
      <c r="H44" s="16"/>
      <c r="I44" s="16"/>
      <c r="J44" s="16"/>
      <c r="K44" s="16"/>
      <c r="L44" s="16"/>
    </row>
    <row r="45" spans="1:12" ht="15" x14ac:dyDescent="0.2">
      <c r="A45" s="38"/>
      <c r="B45" s="48"/>
      <c r="C45" s="49"/>
      <c r="D45" s="38"/>
      <c r="E45" s="16"/>
      <c r="F45" s="16"/>
      <c r="G45" s="16"/>
      <c r="H45" s="16"/>
      <c r="I45" s="16"/>
      <c r="J45" s="16"/>
      <c r="K45" s="16"/>
      <c r="L45" s="16"/>
    </row>
    <row r="46" spans="1:12" ht="16.5" x14ac:dyDescent="0.2">
      <c r="A46" s="50"/>
      <c r="B46" s="16"/>
      <c r="C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2">
      <c r="A47" s="51"/>
      <c r="B47" s="52"/>
      <c r="C47" s="52"/>
      <c r="E47" s="16"/>
      <c r="F47" s="16"/>
      <c r="G47" s="16"/>
      <c r="H47" s="16"/>
      <c r="I47" s="16"/>
      <c r="J47" s="16"/>
      <c r="K47" s="16"/>
      <c r="L47" s="16"/>
    </row>
    <row r="48" spans="1:12" ht="14.25" x14ac:dyDescent="0.2">
      <c r="A48" s="24"/>
      <c r="B48" s="53"/>
      <c r="C48" s="52"/>
      <c r="E48" s="16"/>
      <c r="F48" s="16"/>
      <c r="G48" s="16"/>
      <c r="H48" s="16"/>
      <c r="I48" s="16"/>
      <c r="J48" s="16"/>
      <c r="K48" s="16"/>
      <c r="L48" s="16"/>
    </row>
    <row r="49" spans="1:12" ht="14.25" x14ac:dyDescent="0.2">
      <c r="A49" s="24"/>
      <c r="B49" s="53"/>
      <c r="C49" s="24"/>
      <c r="E49" s="16"/>
      <c r="F49" s="16"/>
      <c r="G49" s="16"/>
      <c r="H49" s="16"/>
      <c r="I49" s="16"/>
      <c r="J49" s="16"/>
      <c r="K49" s="16"/>
      <c r="L49" s="16"/>
    </row>
    <row r="50" spans="1:12" ht="14.25" x14ac:dyDescent="0.2">
      <c r="A50" s="24"/>
      <c r="B50" s="47"/>
      <c r="C50" s="52"/>
      <c r="E50" s="16"/>
      <c r="F50" s="16"/>
      <c r="G50" s="16"/>
      <c r="H50" s="16"/>
      <c r="I50" s="16"/>
      <c r="J50" s="16"/>
      <c r="K50" s="16"/>
      <c r="L50" s="16"/>
    </row>
    <row r="51" spans="1:12" ht="14.25" x14ac:dyDescent="0.2">
      <c r="A51" s="24"/>
      <c r="B51" s="53"/>
      <c r="C51" s="24"/>
      <c r="E51" s="16"/>
      <c r="F51" s="16"/>
      <c r="G51" s="16"/>
      <c r="H51" s="16"/>
      <c r="I51" s="16"/>
      <c r="J51" s="16"/>
      <c r="K51" s="16"/>
      <c r="L51" s="16"/>
    </row>
    <row r="52" spans="1:12" ht="14.25" x14ac:dyDescent="0.2">
      <c r="A52" s="24"/>
      <c r="B52" s="47"/>
      <c r="C52" s="52"/>
      <c r="E52" s="16"/>
      <c r="F52" s="16"/>
      <c r="G52" s="16"/>
      <c r="H52" s="16"/>
      <c r="I52" s="16"/>
      <c r="J52" s="16"/>
      <c r="K52" s="16"/>
      <c r="L52" s="16"/>
    </row>
    <row r="53" spans="1:12" ht="14.25" x14ac:dyDescent="0.2">
      <c r="A53" s="24"/>
      <c r="B53" s="53"/>
      <c r="C53" s="24"/>
      <c r="E53" s="16"/>
      <c r="F53" s="16"/>
      <c r="G53" s="16"/>
      <c r="H53" s="16"/>
      <c r="I53" s="16"/>
      <c r="J53" s="16"/>
      <c r="K53" s="16"/>
      <c r="L53" s="16"/>
    </row>
    <row r="54" spans="1:12" ht="14.25" x14ac:dyDescent="0.2">
      <c r="A54" s="24"/>
      <c r="B54" s="47"/>
      <c r="C54" s="52"/>
      <c r="E54" s="16"/>
      <c r="F54" s="16"/>
      <c r="G54" s="16"/>
      <c r="H54" s="16"/>
      <c r="I54" s="16"/>
      <c r="J54" s="16"/>
      <c r="K54" s="16"/>
      <c r="L54" s="16"/>
    </row>
    <row r="55" spans="1:12" ht="14.25" x14ac:dyDescent="0.2">
      <c r="A55" s="24"/>
      <c r="B55" s="53"/>
      <c r="C55" s="24"/>
      <c r="E55" s="16"/>
      <c r="F55" s="16"/>
      <c r="G55" s="16"/>
      <c r="H55" s="16"/>
      <c r="I55" s="16"/>
      <c r="J55" s="16"/>
      <c r="K55" s="16"/>
      <c r="L55" s="16"/>
    </row>
    <row r="56" spans="1:12" ht="14.25" x14ac:dyDescent="0.2">
      <c r="A56" s="24"/>
      <c r="B56" s="47"/>
      <c r="C56" s="52"/>
      <c r="E56" s="16"/>
      <c r="F56" s="16"/>
      <c r="G56" s="16"/>
      <c r="H56" s="16"/>
      <c r="I56" s="16"/>
      <c r="J56" s="16"/>
      <c r="K56" s="16"/>
      <c r="L56" s="16"/>
    </row>
    <row r="57" spans="1:12" ht="16.5" x14ac:dyDescent="0.2">
      <c r="A57" s="50"/>
      <c r="B57" s="16"/>
      <c r="C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2">
      <c r="A58" s="16"/>
      <c r="B58" s="16"/>
      <c r="C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2">
      <c r="A59" s="16"/>
      <c r="B59" s="16"/>
      <c r="C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2">
      <c r="A60" s="54"/>
      <c r="B60" s="16"/>
      <c r="C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2">
      <c r="A61" s="16"/>
      <c r="B61" s="16"/>
      <c r="C61" s="16"/>
      <c r="E61" s="16"/>
    </row>
    <row r="62" spans="1:12" x14ac:dyDescent="0.2">
      <c r="A62" s="16"/>
      <c r="B62" s="16"/>
      <c r="C62" s="16"/>
      <c r="E62" s="16"/>
    </row>
    <row r="63" spans="1:12" x14ac:dyDescent="0.2">
      <c r="A63" s="16"/>
      <c r="B63" s="16"/>
      <c r="C63" s="16"/>
      <c r="E63" s="16"/>
    </row>
    <row r="64" spans="1:12" x14ac:dyDescent="0.2">
      <c r="A64" s="16"/>
      <c r="B64" s="16"/>
      <c r="C64" s="16"/>
      <c r="E64" s="16"/>
    </row>
    <row r="65" spans="1:5" x14ac:dyDescent="0.2">
      <c r="A65" s="16"/>
      <c r="B65" s="16"/>
      <c r="C65" s="16"/>
      <c r="E65" s="16"/>
    </row>
    <row r="66" spans="1:5" x14ac:dyDescent="0.2">
      <c r="A66" s="16"/>
      <c r="B66" s="16"/>
      <c r="C66" s="16"/>
      <c r="E66" s="16"/>
    </row>
    <row r="67" spans="1:5" x14ac:dyDescent="0.2">
      <c r="A67" s="16"/>
      <c r="B67" s="16"/>
      <c r="C67" s="16"/>
      <c r="E67" s="16"/>
    </row>
    <row r="68" spans="1:5" x14ac:dyDescent="0.2">
      <c r="A68" s="16"/>
      <c r="B68" s="16"/>
      <c r="C68" s="16"/>
      <c r="E68" s="16"/>
    </row>
    <row r="69" spans="1:5" x14ac:dyDescent="0.2">
      <c r="A69" s="16"/>
      <c r="B69" s="16"/>
      <c r="C69" s="16"/>
      <c r="E69" s="16"/>
    </row>
  </sheetData>
  <mergeCells count="1">
    <mergeCell ref="A8:C8"/>
  </mergeCells>
  <pageMargins left="0.90551181102362199" right="0.51181102362204722" top="0.74803149606299213" bottom="0.74803149606299213" header="0.31496062992125984" footer="0.31496062992125984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topLeftCell="A4" workbookViewId="0">
      <selection activeCell="F35" sqref="F35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8" bestFit="1" customWidth="1"/>
    <col min="6" max="6" width="9.7109375" bestFit="1" customWidth="1"/>
  </cols>
  <sheetData>
    <row r="1" spans="1:8" s="13" customFormat="1" ht="14.25" x14ac:dyDescent="0.2">
      <c r="A1" s="6" t="s">
        <v>84</v>
      </c>
      <c r="B1" s="11"/>
      <c r="C1" s="11"/>
      <c r="E1" s="14"/>
    </row>
    <row r="2" spans="1:8" s="13" customFormat="1" ht="14.25" x14ac:dyDescent="0.2">
      <c r="A2" s="10" t="s">
        <v>95</v>
      </c>
      <c r="B2" s="11"/>
      <c r="C2" s="11"/>
      <c r="E2" s="14"/>
    </row>
    <row r="3" spans="1:8" s="13" customFormat="1" ht="14.25" x14ac:dyDescent="0.2">
      <c r="A3" s="5" t="s">
        <v>85</v>
      </c>
      <c r="B3" s="11"/>
      <c r="C3" s="11"/>
      <c r="E3" s="14"/>
    </row>
    <row r="4" spans="1:8" s="13" customFormat="1" ht="14.25" x14ac:dyDescent="0.2">
      <c r="A4" s="5"/>
      <c r="B4" s="11"/>
      <c r="C4" s="11"/>
      <c r="E4" s="14"/>
    </row>
    <row r="5" spans="1:8" s="2" customFormat="1" ht="15.6" hidden="1" customHeight="1" x14ac:dyDescent="0.2">
      <c r="A5" s="98" t="s">
        <v>100</v>
      </c>
      <c r="B5" s="9"/>
      <c r="C5" s="9"/>
      <c r="D5" s="9"/>
      <c r="E5" s="9"/>
      <c r="F5" s="9"/>
      <c r="G5" s="4"/>
    </row>
    <row r="6" spans="1:8" s="2" customFormat="1" ht="16.5" customHeight="1" x14ac:dyDescent="0.2">
      <c r="A6" s="99" t="s">
        <v>101</v>
      </c>
      <c r="B6" s="3"/>
      <c r="C6" s="3"/>
      <c r="D6" s="4"/>
      <c r="E6" s="4"/>
      <c r="F6" s="4"/>
      <c r="G6" s="4"/>
    </row>
    <row r="7" spans="1:8" s="2" customFormat="1" ht="16.5" customHeight="1" x14ac:dyDescent="0.2">
      <c r="A7" s="99" t="s">
        <v>102</v>
      </c>
      <c r="B7" s="3"/>
      <c r="C7" s="3"/>
      <c r="D7" s="4"/>
      <c r="E7" s="4"/>
      <c r="F7" s="4"/>
      <c r="G7" s="4"/>
    </row>
    <row r="8" spans="1:8" s="13" customFormat="1" ht="15" thickBot="1" x14ac:dyDescent="0.25">
      <c r="B8" s="11"/>
      <c r="C8" s="11"/>
      <c r="E8" s="14"/>
    </row>
    <row r="9" spans="1:8" ht="15.75" x14ac:dyDescent="0.2">
      <c r="A9" s="343" t="s">
        <v>90</v>
      </c>
      <c r="B9" s="344"/>
      <c r="C9" s="344"/>
      <c r="D9" s="344"/>
      <c r="E9" s="344"/>
      <c r="F9" s="345"/>
    </row>
    <row r="10" spans="1:8" ht="16.5" thickBot="1" x14ac:dyDescent="0.25">
      <c r="A10" s="91"/>
      <c r="B10" s="92"/>
      <c r="C10" s="92"/>
      <c r="D10" s="92"/>
      <c r="E10" s="92"/>
      <c r="F10" s="93"/>
    </row>
    <row r="11" spans="1:8" ht="15" x14ac:dyDescent="0.25">
      <c r="A11" s="57"/>
      <c r="B11" s="12"/>
      <c r="C11" s="12"/>
      <c r="D11" s="340" t="s">
        <v>94</v>
      </c>
      <c r="E11" s="341"/>
      <c r="F11" s="342"/>
      <c r="G11" s="13"/>
      <c r="H11" s="13"/>
    </row>
    <row r="12" spans="1:8" ht="15" thickBot="1" x14ac:dyDescent="0.25">
      <c r="A12" s="56"/>
      <c r="B12" s="58"/>
      <c r="C12" s="58"/>
      <c r="D12" s="59" t="s">
        <v>78</v>
      </c>
      <c r="E12" s="60" t="s">
        <v>79</v>
      </c>
      <c r="F12" s="61" t="s">
        <v>80</v>
      </c>
      <c r="G12" s="13"/>
      <c r="H12" s="13"/>
    </row>
    <row r="13" spans="1:8" ht="14.25" x14ac:dyDescent="0.2">
      <c r="A13" s="62" t="s">
        <v>13</v>
      </c>
      <c r="B13" s="63" t="s">
        <v>14</v>
      </c>
      <c r="C13" s="64">
        <v>0.05</v>
      </c>
      <c r="D13" s="85">
        <v>2.9700000000000001E-2</v>
      </c>
      <c r="E13" s="86">
        <v>5.0799999999999998E-2</v>
      </c>
      <c r="F13" s="87">
        <v>6.2700000000000006E-2</v>
      </c>
      <c r="G13" s="13"/>
      <c r="H13" s="13"/>
    </row>
    <row r="14" spans="1:8" ht="14.25" x14ac:dyDescent="0.2">
      <c r="A14" s="66" t="s">
        <v>15</v>
      </c>
      <c r="B14" s="67" t="s">
        <v>16</v>
      </c>
      <c r="C14" s="68">
        <v>1.3299999999999999E-2</v>
      </c>
      <c r="D14" s="85">
        <f>0.3%+0.56%</f>
        <v>8.6E-3</v>
      </c>
      <c r="E14" s="86">
        <f>0.48%+0.85%</f>
        <v>1.3299999999999999E-2</v>
      </c>
      <c r="F14" s="87">
        <f>0.82%+0.89%</f>
        <v>1.7099999999999997E-2</v>
      </c>
      <c r="G14" s="13"/>
      <c r="H14" s="13"/>
    </row>
    <row r="15" spans="1:8" ht="14.25" x14ac:dyDescent="0.2">
      <c r="A15" s="66" t="s">
        <v>17</v>
      </c>
      <c r="B15" s="67" t="s">
        <v>18</v>
      </c>
      <c r="C15" s="68">
        <v>9.5000000000000001E-2</v>
      </c>
      <c r="D15" s="85">
        <v>7.7799999999999994E-2</v>
      </c>
      <c r="E15" s="86">
        <v>0.1085</v>
      </c>
      <c r="F15" s="87">
        <v>0.13550000000000001</v>
      </c>
      <c r="G15" s="13"/>
      <c r="H15" s="13"/>
    </row>
    <row r="16" spans="1:8" ht="14.25" x14ac:dyDescent="0.2">
      <c r="A16" s="66" t="s">
        <v>19</v>
      </c>
      <c r="B16" s="67" t="s">
        <v>20</v>
      </c>
      <c r="C16" s="69">
        <f>(1+E16)^(E17/252)-1</f>
        <v>2.1268922415460523E-3</v>
      </c>
      <c r="D16" s="85" t="s">
        <v>97</v>
      </c>
      <c r="E16" s="70">
        <v>5.5E-2</v>
      </c>
      <c r="F16" s="65"/>
      <c r="G16" s="13"/>
      <c r="H16" s="13"/>
    </row>
    <row r="17" spans="1:8" ht="14.25" x14ac:dyDescent="0.2">
      <c r="A17" s="66" t="s">
        <v>21</v>
      </c>
      <c r="B17" s="338" t="s">
        <v>22</v>
      </c>
      <c r="C17" s="68">
        <v>2.7900000000000001E-2</v>
      </c>
      <c r="D17" s="97" t="s">
        <v>81</v>
      </c>
      <c r="E17" s="71">
        <v>10</v>
      </c>
      <c r="F17" s="72"/>
      <c r="G17" s="13"/>
      <c r="H17" s="13"/>
    </row>
    <row r="18" spans="1:8" ht="15" thickBot="1" x14ac:dyDescent="0.25">
      <c r="A18" s="73" t="s">
        <v>127</v>
      </c>
      <c r="B18" s="339"/>
      <c r="C18" s="74">
        <v>5.4199999999999998E-2</v>
      </c>
      <c r="D18" s="55"/>
      <c r="E18" s="75"/>
      <c r="F18" s="72"/>
      <c r="G18" s="13"/>
      <c r="H18" s="13"/>
    </row>
    <row r="19" spans="1:8" ht="14.25" x14ac:dyDescent="0.2">
      <c r="A19" s="76" t="s">
        <v>23</v>
      </c>
      <c r="B19" s="77"/>
      <c r="C19" s="78"/>
      <c r="D19" s="55"/>
      <c r="E19" s="75"/>
      <c r="F19" s="72"/>
      <c r="G19" s="13"/>
      <c r="H19" s="13"/>
    </row>
    <row r="20" spans="1:8" ht="15" thickBot="1" x14ac:dyDescent="0.25">
      <c r="A20" s="79" t="s">
        <v>24</v>
      </c>
      <c r="B20" s="80"/>
      <c r="C20" s="81"/>
      <c r="D20" s="55"/>
      <c r="E20" s="75"/>
      <c r="F20" s="72"/>
      <c r="G20" s="13"/>
      <c r="H20" s="13"/>
    </row>
    <row r="21" spans="1:8" ht="15.75" thickBot="1" x14ac:dyDescent="0.25">
      <c r="A21" s="82" t="s">
        <v>25</v>
      </c>
      <c r="B21" s="83"/>
      <c r="C21" s="84">
        <f>ROUND((((1+C13+C14)*(1+C15)*(1+C16))/(1-(C17+C18))-1),4)</f>
        <v>0.2712</v>
      </c>
      <c r="D21" s="88">
        <v>0.21429999999999999</v>
      </c>
      <c r="E21" s="89">
        <v>0.2717</v>
      </c>
      <c r="F21" s="90">
        <v>0.3362</v>
      </c>
      <c r="G21" s="13"/>
      <c r="H21" s="13"/>
    </row>
    <row r="22" spans="1:8" ht="14.25" x14ac:dyDescent="0.2">
      <c r="A22" s="13"/>
      <c r="B22" s="13"/>
      <c r="C22" s="13"/>
      <c r="D22" s="13"/>
      <c r="E22" s="14"/>
      <c r="F22" s="13"/>
      <c r="G22" s="13"/>
      <c r="H22" s="13"/>
    </row>
    <row r="23" spans="1:8" ht="14.25" x14ac:dyDescent="0.2">
      <c r="A23" s="296" t="s">
        <v>257</v>
      </c>
      <c r="B23" s="13"/>
      <c r="C23" s="13"/>
      <c r="D23" s="13"/>
      <c r="E23" s="14"/>
      <c r="F23" s="13"/>
      <c r="G23" s="13"/>
      <c r="H23" s="13"/>
    </row>
    <row r="24" spans="1:8" ht="14.25" x14ac:dyDescent="0.2">
      <c r="A24" s="297" t="s">
        <v>258</v>
      </c>
      <c r="B24" s="13"/>
      <c r="C24" s="13"/>
      <c r="D24" s="13"/>
      <c r="E24" s="14"/>
      <c r="F24" s="13"/>
      <c r="G24" s="13"/>
      <c r="H24" s="13"/>
    </row>
    <row r="25" spans="1:8" ht="14.25" x14ac:dyDescent="0.2">
      <c r="A25" s="13"/>
      <c r="B25" s="13"/>
      <c r="C25" s="13"/>
      <c r="D25" s="13"/>
      <c r="E25" s="14"/>
      <c r="F25" s="13"/>
      <c r="G25" s="13"/>
      <c r="H25" s="13"/>
    </row>
  </sheetData>
  <mergeCells count="3">
    <mergeCell ref="B17:B18"/>
    <mergeCell ref="D11:F11"/>
    <mergeCell ref="A9:F9"/>
  </mergeCells>
  <pageMargins left="0.90551181102362199" right="0.51181102362204722" top="0.74803149606299213" bottom="0.74803149606299213" header="0.31496062992125984" footer="0.31496062992125984"/>
  <pageSetup paperSize="9" orientation="portrait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4"/>
  <sheetViews>
    <sheetView topLeftCell="A16" workbookViewId="0">
      <selection activeCell="F35" sqref="F35"/>
    </sheetView>
  </sheetViews>
  <sheetFormatPr defaultRowHeight="12.75" x14ac:dyDescent="0.2"/>
  <cols>
    <col min="1" max="1" width="24.28515625" style="102" customWidth="1"/>
    <col min="2" max="2" width="9" style="102" bestFit="1" customWidth="1"/>
    <col min="3" max="3" width="14.42578125" style="102" customWidth="1"/>
    <col min="4" max="4" width="11.7109375" style="102" customWidth="1"/>
    <col min="5" max="5" width="7.28515625" style="102" customWidth="1"/>
    <col min="6" max="246" width="8.85546875" style="102"/>
    <col min="247" max="247" width="9.28515625" style="102" bestFit="1" customWidth="1"/>
    <col min="248" max="248" width="9" style="102" bestFit="1" customWidth="1"/>
    <col min="249" max="249" width="14.42578125" style="102" customWidth="1"/>
    <col min="250" max="250" width="11.7109375" style="102" customWidth="1"/>
    <col min="251" max="251" width="7.28515625" style="102" customWidth="1"/>
    <col min="252" max="252" width="8.85546875" style="102"/>
    <col min="253" max="253" width="22.5703125" style="102" customWidth="1"/>
    <col min="254" max="254" width="8.85546875" style="102"/>
    <col min="255" max="255" width="10.28515625" style="102" customWidth="1"/>
    <col min="256" max="256" width="10.5703125" style="102" customWidth="1"/>
    <col min="257" max="502" width="8.85546875" style="102"/>
    <col min="503" max="503" width="9.28515625" style="102" bestFit="1" customWidth="1"/>
    <col min="504" max="504" width="9" style="102" bestFit="1" customWidth="1"/>
    <col min="505" max="505" width="14.42578125" style="102" customWidth="1"/>
    <col min="506" max="506" width="11.7109375" style="102" customWidth="1"/>
    <col min="507" max="507" width="7.28515625" style="102" customWidth="1"/>
    <col min="508" max="508" width="8.85546875" style="102"/>
    <col min="509" max="509" width="22.5703125" style="102" customWidth="1"/>
    <col min="510" max="510" width="8.85546875" style="102"/>
    <col min="511" max="511" width="10.28515625" style="102" customWidth="1"/>
    <col min="512" max="512" width="10.5703125" style="102" customWidth="1"/>
    <col min="513" max="758" width="8.85546875" style="102"/>
    <col min="759" max="759" width="9.28515625" style="102" bestFit="1" customWidth="1"/>
    <col min="760" max="760" width="9" style="102" bestFit="1" customWidth="1"/>
    <col min="761" max="761" width="14.42578125" style="102" customWidth="1"/>
    <col min="762" max="762" width="11.7109375" style="102" customWidth="1"/>
    <col min="763" max="763" width="7.28515625" style="102" customWidth="1"/>
    <col min="764" max="764" width="8.85546875" style="102"/>
    <col min="765" max="765" width="22.5703125" style="102" customWidth="1"/>
    <col min="766" max="766" width="8.85546875" style="102"/>
    <col min="767" max="767" width="10.28515625" style="102" customWidth="1"/>
    <col min="768" max="768" width="10.5703125" style="102" customWidth="1"/>
    <col min="769" max="1014" width="8.85546875" style="102"/>
    <col min="1015" max="1015" width="9.28515625" style="102" bestFit="1" customWidth="1"/>
    <col min="1016" max="1016" width="9" style="102" bestFit="1" customWidth="1"/>
    <col min="1017" max="1017" width="14.42578125" style="102" customWidth="1"/>
    <col min="1018" max="1018" width="11.7109375" style="102" customWidth="1"/>
    <col min="1019" max="1019" width="7.28515625" style="102" customWidth="1"/>
    <col min="1020" max="1020" width="8.85546875" style="102"/>
    <col min="1021" max="1021" width="22.5703125" style="102" customWidth="1"/>
    <col min="1022" max="1022" width="8.85546875" style="102"/>
    <col min="1023" max="1023" width="10.28515625" style="102" customWidth="1"/>
    <col min="1024" max="1024" width="10.5703125" style="102" customWidth="1"/>
    <col min="1025" max="1270" width="8.85546875" style="102"/>
    <col min="1271" max="1271" width="9.28515625" style="102" bestFit="1" customWidth="1"/>
    <col min="1272" max="1272" width="9" style="102" bestFit="1" customWidth="1"/>
    <col min="1273" max="1273" width="14.42578125" style="102" customWidth="1"/>
    <col min="1274" max="1274" width="11.7109375" style="102" customWidth="1"/>
    <col min="1275" max="1275" width="7.28515625" style="102" customWidth="1"/>
    <col min="1276" max="1276" width="8.85546875" style="102"/>
    <col min="1277" max="1277" width="22.5703125" style="102" customWidth="1"/>
    <col min="1278" max="1278" width="8.85546875" style="102"/>
    <col min="1279" max="1279" width="10.28515625" style="102" customWidth="1"/>
    <col min="1280" max="1280" width="10.5703125" style="102" customWidth="1"/>
    <col min="1281" max="1526" width="8.85546875" style="102"/>
    <col min="1527" max="1527" width="9.28515625" style="102" bestFit="1" customWidth="1"/>
    <col min="1528" max="1528" width="9" style="102" bestFit="1" customWidth="1"/>
    <col min="1529" max="1529" width="14.42578125" style="102" customWidth="1"/>
    <col min="1530" max="1530" width="11.7109375" style="102" customWidth="1"/>
    <col min="1531" max="1531" width="7.28515625" style="102" customWidth="1"/>
    <col min="1532" max="1532" width="8.85546875" style="102"/>
    <col min="1533" max="1533" width="22.5703125" style="102" customWidth="1"/>
    <col min="1534" max="1534" width="8.85546875" style="102"/>
    <col min="1535" max="1535" width="10.28515625" style="102" customWidth="1"/>
    <col min="1536" max="1536" width="10.5703125" style="102" customWidth="1"/>
    <col min="1537" max="1782" width="8.85546875" style="102"/>
    <col min="1783" max="1783" width="9.28515625" style="102" bestFit="1" customWidth="1"/>
    <col min="1784" max="1784" width="9" style="102" bestFit="1" customWidth="1"/>
    <col min="1785" max="1785" width="14.42578125" style="102" customWidth="1"/>
    <col min="1786" max="1786" width="11.7109375" style="102" customWidth="1"/>
    <col min="1787" max="1787" width="7.28515625" style="102" customWidth="1"/>
    <col min="1788" max="1788" width="8.85546875" style="102"/>
    <col min="1789" max="1789" width="22.5703125" style="102" customWidth="1"/>
    <col min="1790" max="1790" width="8.85546875" style="102"/>
    <col min="1791" max="1791" width="10.28515625" style="102" customWidth="1"/>
    <col min="1792" max="1792" width="10.5703125" style="102" customWidth="1"/>
    <col min="1793" max="2038" width="8.85546875" style="102"/>
    <col min="2039" max="2039" width="9.28515625" style="102" bestFit="1" customWidth="1"/>
    <col min="2040" max="2040" width="9" style="102" bestFit="1" customWidth="1"/>
    <col min="2041" max="2041" width="14.42578125" style="102" customWidth="1"/>
    <col min="2042" max="2042" width="11.7109375" style="102" customWidth="1"/>
    <col min="2043" max="2043" width="7.28515625" style="102" customWidth="1"/>
    <col min="2044" max="2044" width="8.85546875" style="102"/>
    <col min="2045" max="2045" width="22.5703125" style="102" customWidth="1"/>
    <col min="2046" max="2046" width="8.85546875" style="102"/>
    <col min="2047" max="2047" width="10.28515625" style="102" customWidth="1"/>
    <col min="2048" max="2048" width="10.5703125" style="102" customWidth="1"/>
    <col min="2049" max="2294" width="8.85546875" style="102"/>
    <col min="2295" max="2295" width="9.28515625" style="102" bestFit="1" customWidth="1"/>
    <col min="2296" max="2296" width="9" style="102" bestFit="1" customWidth="1"/>
    <col min="2297" max="2297" width="14.42578125" style="102" customWidth="1"/>
    <col min="2298" max="2298" width="11.7109375" style="102" customWidth="1"/>
    <col min="2299" max="2299" width="7.28515625" style="102" customWidth="1"/>
    <col min="2300" max="2300" width="8.85546875" style="102"/>
    <col min="2301" max="2301" width="22.5703125" style="102" customWidth="1"/>
    <col min="2302" max="2302" width="8.85546875" style="102"/>
    <col min="2303" max="2303" width="10.28515625" style="102" customWidth="1"/>
    <col min="2304" max="2304" width="10.5703125" style="102" customWidth="1"/>
    <col min="2305" max="2550" width="8.85546875" style="102"/>
    <col min="2551" max="2551" width="9.28515625" style="102" bestFit="1" customWidth="1"/>
    <col min="2552" max="2552" width="9" style="102" bestFit="1" customWidth="1"/>
    <col min="2553" max="2553" width="14.42578125" style="102" customWidth="1"/>
    <col min="2554" max="2554" width="11.7109375" style="102" customWidth="1"/>
    <col min="2555" max="2555" width="7.28515625" style="102" customWidth="1"/>
    <col min="2556" max="2556" width="8.85546875" style="102"/>
    <col min="2557" max="2557" width="22.5703125" style="102" customWidth="1"/>
    <col min="2558" max="2558" width="8.85546875" style="102"/>
    <col min="2559" max="2559" width="10.28515625" style="102" customWidth="1"/>
    <col min="2560" max="2560" width="10.5703125" style="102" customWidth="1"/>
    <col min="2561" max="2806" width="8.85546875" style="102"/>
    <col min="2807" max="2807" width="9.28515625" style="102" bestFit="1" customWidth="1"/>
    <col min="2808" max="2808" width="9" style="102" bestFit="1" customWidth="1"/>
    <col min="2809" max="2809" width="14.42578125" style="102" customWidth="1"/>
    <col min="2810" max="2810" width="11.7109375" style="102" customWidth="1"/>
    <col min="2811" max="2811" width="7.28515625" style="102" customWidth="1"/>
    <col min="2812" max="2812" width="8.85546875" style="102"/>
    <col min="2813" max="2813" width="22.5703125" style="102" customWidth="1"/>
    <col min="2814" max="2814" width="8.85546875" style="102"/>
    <col min="2815" max="2815" width="10.28515625" style="102" customWidth="1"/>
    <col min="2816" max="2816" width="10.5703125" style="102" customWidth="1"/>
    <col min="2817" max="3062" width="8.85546875" style="102"/>
    <col min="3063" max="3063" width="9.28515625" style="102" bestFit="1" customWidth="1"/>
    <col min="3064" max="3064" width="9" style="102" bestFit="1" customWidth="1"/>
    <col min="3065" max="3065" width="14.42578125" style="102" customWidth="1"/>
    <col min="3066" max="3066" width="11.7109375" style="102" customWidth="1"/>
    <col min="3067" max="3067" width="7.28515625" style="102" customWidth="1"/>
    <col min="3068" max="3068" width="8.85546875" style="102"/>
    <col min="3069" max="3069" width="22.5703125" style="102" customWidth="1"/>
    <col min="3070" max="3070" width="8.85546875" style="102"/>
    <col min="3071" max="3071" width="10.28515625" style="102" customWidth="1"/>
    <col min="3072" max="3072" width="10.5703125" style="102" customWidth="1"/>
    <col min="3073" max="3318" width="8.85546875" style="102"/>
    <col min="3319" max="3319" width="9.28515625" style="102" bestFit="1" customWidth="1"/>
    <col min="3320" max="3320" width="9" style="102" bestFit="1" customWidth="1"/>
    <col min="3321" max="3321" width="14.42578125" style="102" customWidth="1"/>
    <col min="3322" max="3322" width="11.7109375" style="102" customWidth="1"/>
    <col min="3323" max="3323" width="7.28515625" style="102" customWidth="1"/>
    <col min="3324" max="3324" width="8.85546875" style="102"/>
    <col min="3325" max="3325" width="22.5703125" style="102" customWidth="1"/>
    <col min="3326" max="3326" width="8.85546875" style="102"/>
    <col min="3327" max="3327" width="10.28515625" style="102" customWidth="1"/>
    <col min="3328" max="3328" width="10.5703125" style="102" customWidth="1"/>
    <col min="3329" max="3574" width="8.85546875" style="102"/>
    <col min="3575" max="3575" width="9.28515625" style="102" bestFit="1" customWidth="1"/>
    <col min="3576" max="3576" width="9" style="102" bestFit="1" customWidth="1"/>
    <col min="3577" max="3577" width="14.42578125" style="102" customWidth="1"/>
    <col min="3578" max="3578" width="11.7109375" style="102" customWidth="1"/>
    <col min="3579" max="3579" width="7.28515625" style="102" customWidth="1"/>
    <col min="3580" max="3580" width="8.85546875" style="102"/>
    <col min="3581" max="3581" width="22.5703125" style="102" customWidth="1"/>
    <col min="3582" max="3582" width="8.85546875" style="102"/>
    <col min="3583" max="3583" width="10.28515625" style="102" customWidth="1"/>
    <col min="3584" max="3584" width="10.5703125" style="102" customWidth="1"/>
    <col min="3585" max="3830" width="8.85546875" style="102"/>
    <col min="3831" max="3831" width="9.28515625" style="102" bestFit="1" customWidth="1"/>
    <col min="3832" max="3832" width="9" style="102" bestFit="1" customWidth="1"/>
    <col min="3833" max="3833" width="14.42578125" style="102" customWidth="1"/>
    <col min="3834" max="3834" width="11.7109375" style="102" customWidth="1"/>
    <col min="3835" max="3835" width="7.28515625" style="102" customWidth="1"/>
    <col min="3836" max="3836" width="8.85546875" style="102"/>
    <col min="3837" max="3837" width="22.5703125" style="102" customWidth="1"/>
    <col min="3838" max="3838" width="8.85546875" style="102"/>
    <col min="3839" max="3839" width="10.28515625" style="102" customWidth="1"/>
    <col min="3840" max="3840" width="10.5703125" style="102" customWidth="1"/>
    <col min="3841" max="4086" width="8.85546875" style="102"/>
    <col min="4087" max="4087" width="9.28515625" style="102" bestFit="1" customWidth="1"/>
    <col min="4088" max="4088" width="9" style="102" bestFit="1" customWidth="1"/>
    <col min="4089" max="4089" width="14.42578125" style="102" customWidth="1"/>
    <col min="4090" max="4090" width="11.7109375" style="102" customWidth="1"/>
    <col min="4091" max="4091" width="7.28515625" style="102" customWidth="1"/>
    <col min="4092" max="4092" width="8.85546875" style="102"/>
    <col min="4093" max="4093" width="22.5703125" style="102" customWidth="1"/>
    <col min="4094" max="4094" width="8.85546875" style="102"/>
    <col min="4095" max="4095" width="10.28515625" style="102" customWidth="1"/>
    <col min="4096" max="4096" width="10.5703125" style="102" customWidth="1"/>
    <col min="4097" max="4342" width="8.85546875" style="102"/>
    <col min="4343" max="4343" width="9.28515625" style="102" bestFit="1" customWidth="1"/>
    <col min="4344" max="4344" width="9" style="102" bestFit="1" customWidth="1"/>
    <col min="4345" max="4345" width="14.42578125" style="102" customWidth="1"/>
    <col min="4346" max="4346" width="11.7109375" style="102" customWidth="1"/>
    <col min="4347" max="4347" width="7.28515625" style="102" customWidth="1"/>
    <col min="4348" max="4348" width="8.85546875" style="102"/>
    <col min="4349" max="4349" width="22.5703125" style="102" customWidth="1"/>
    <col min="4350" max="4350" width="8.85546875" style="102"/>
    <col min="4351" max="4351" width="10.28515625" style="102" customWidth="1"/>
    <col min="4352" max="4352" width="10.5703125" style="102" customWidth="1"/>
    <col min="4353" max="4598" width="8.85546875" style="102"/>
    <col min="4599" max="4599" width="9.28515625" style="102" bestFit="1" customWidth="1"/>
    <col min="4600" max="4600" width="9" style="102" bestFit="1" customWidth="1"/>
    <col min="4601" max="4601" width="14.42578125" style="102" customWidth="1"/>
    <col min="4602" max="4602" width="11.7109375" style="102" customWidth="1"/>
    <col min="4603" max="4603" width="7.28515625" style="102" customWidth="1"/>
    <col min="4604" max="4604" width="8.85546875" style="102"/>
    <col min="4605" max="4605" width="22.5703125" style="102" customWidth="1"/>
    <col min="4606" max="4606" width="8.85546875" style="102"/>
    <col min="4607" max="4607" width="10.28515625" style="102" customWidth="1"/>
    <col min="4608" max="4608" width="10.5703125" style="102" customWidth="1"/>
    <col min="4609" max="4854" width="8.85546875" style="102"/>
    <col min="4855" max="4855" width="9.28515625" style="102" bestFit="1" customWidth="1"/>
    <col min="4856" max="4856" width="9" style="102" bestFit="1" customWidth="1"/>
    <col min="4857" max="4857" width="14.42578125" style="102" customWidth="1"/>
    <col min="4858" max="4858" width="11.7109375" style="102" customWidth="1"/>
    <col min="4859" max="4859" width="7.28515625" style="102" customWidth="1"/>
    <col min="4860" max="4860" width="8.85546875" style="102"/>
    <col min="4861" max="4861" width="22.5703125" style="102" customWidth="1"/>
    <col min="4862" max="4862" width="8.85546875" style="102"/>
    <col min="4863" max="4863" width="10.28515625" style="102" customWidth="1"/>
    <col min="4864" max="4864" width="10.5703125" style="102" customWidth="1"/>
    <col min="4865" max="5110" width="8.85546875" style="102"/>
    <col min="5111" max="5111" width="9.28515625" style="102" bestFit="1" customWidth="1"/>
    <col min="5112" max="5112" width="9" style="102" bestFit="1" customWidth="1"/>
    <col min="5113" max="5113" width="14.42578125" style="102" customWidth="1"/>
    <col min="5114" max="5114" width="11.7109375" style="102" customWidth="1"/>
    <col min="5115" max="5115" width="7.28515625" style="102" customWidth="1"/>
    <col min="5116" max="5116" width="8.85546875" style="102"/>
    <col min="5117" max="5117" width="22.5703125" style="102" customWidth="1"/>
    <col min="5118" max="5118" width="8.85546875" style="102"/>
    <col min="5119" max="5119" width="10.28515625" style="102" customWidth="1"/>
    <col min="5120" max="5120" width="10.5703125" style="102" customWidth="1"/>
    <col min="5121" max="5366" width="8.85546875" style="102"/>
    <col min="5367" max="5367" width="9.28515625" style="102" bestFit="1" customWidth="1"/>
    <col min="5368" max="5368" width="9" style="102" bestFit="1" customWidth="1"/>
    <col min="5369" max="5369" width="14.42578125" style="102" customWidth="1"/>
    <col min="5370" max="5370" width="11.7109375" style="102" customWidth="1"/>
    <col min="5371" max="5371" width="7.28515625" style="102" customWidth="1"/>
    <col min="5372" max="5372" width="8.85546875" style="102"/>
    <col min="5373" max="5373" width="22.5703125" style="102" customWidth="1"/>
    <col min="5374" max="5374" width="8.85546875" style="102"/>
    <col min="5375" max="5375" width="10.28515625" style="102" customWidth="1"/>
    <col min="5376" max="5376" width="10.5703125" style="102" customWidth="1"/>
    <col min="5377" max="5622" width="8.85546875" style="102"/>
    <col min="5623" max="5623" width="9.28515625" style="102" bestFit="1" customWidth="1"/>
    <col min="5624" max="5624" width="9" style="102" bestFit="1" customWidth="1"/>
    <col min="5625" max="5625" width="14.42578125" style="102" customWidth="1"/>
    <col min="5626" max="5626" width="11.7109375" style="102" customWidth="1"/>
    <col min="5627" max="5627" width="7.28515625" style="102" customWidth="1"/>
    <col min="5628" max="5628" width="8.85546875" style="102"/>
    <col min="5629" max="5629" width="22.5703125" style="102" customWidth="1"/>
    <col min="5630" max="5630" width="8.85546875" style="102"/>
    <col min="5631" max="5631" width="10.28515625" style="102" customWidth="1"/>
    <col min="5632" max="5632" width="10.5703125" style="102" customWidth="1"/>
    <col min="5633" max="5878" width="8.85546875" style="102"/>
    <col min="5879" max="5879" width="9.28515625" style="102" bestFit="1" customWidth="1"/>
    <col min="5880" max="5880" width="9" style="102" bestFit="1" customWidth="1"/>
    <col min="5881" max="5881" width="14.42578125" style="102" customWidth="1"/>
    <col min="5882" max="5882" width="11.7109375" style="102" customWidth="1"/>
    <col min="5883" max="5883" width="7.28515625" style="102" customWidth="1"/>
    <col min="5884" max="5884" width="8.85546875" style="102"/>
    <col min="5885" max="5885" width="22.5703125" style="102" customWidth="1"/>
    <col min="5886" max="5886" width="8.85546875" style="102"/>
    <col min="5887" max="5887" width="10.28515625" style="102" customWidth="1"/>
    <col min="5888" max="5888" width="10.5703125" style="102" customWidth="1"/>
    <col min="5889" max="6134" width="8.85546875" style="102"/>
    <col min="6135" max="6135" width="9.28515625" style="102" bestFit="1" customWidth="1"/>
    <col min="6136" max="6136" width="9" style="102" bestFit="1" customWidth="1"/>
    <col min="6137" max="6137" width="14.42578125" style="102" customWidth="1"/>
    <col min="6138" max="6138" width="11.7109375" style="102" customWidth="1"/>
    <col min="6139" max="6139" width="7.28515625" style="102" customWidth="1"/>
    <col min="6140" max="6140" width="8.85546875" style="102"/>
    <col min="6141" max="6141" width="22.5703125" style="102" customWidth="1"/>
    <col min="6142" max="6142" width="8.85546875" style="102"/>
    <col min="6143" max="6143" width="10.28515625" style="102" customWidth="1"/>
    <col min="6144" max="6144" width="10.5703125" style="102" customWidth="1"/>
    <col min="6145" max="6390" width="8.85546875" style="102"/>
    <col min="6391" max="6391" width="9.28515625" style="102" bestFit="1" customWidth="1"/>
    <col min="6392" max="6392" width="9" style="102" bestFit="1" customWidth="1"/>
    <col min="6393" max="6393" width="14.42578125" style="102" customWidth="1"/>
    <col min="6394" max="6394" width="11.7109375" style="102" customWidth="1"/>
    <col min="6395" max="6395" width="7.28515625" style="102" customWidth="1"/>
    <col min="6396" max="6396" width="8.85546875" style="102"/>
    <col min="6397" max="6397" width="22.5703125" style="102" customWidth="1"/>
    <col min="6398" max="6398" width="8.85546875" style="102"/>
    <col min="6399" max="6399" width="10.28515625" style="102" customWidth="1"/>
    <col min="6400" max="6400" width="10.5703125" style="102" customWidth="1"/>
    <col min="6401" max="6646" width="8.85546875" style="102"/>
    <col min="6647" max="6647" width="9.28515625" style="102" bestFit="1" customWidth="1"/>
    <col min="6648" max="6648" width="9" style="102" bestFit="1" customWidth="1"/>
    <col min="6649" max="6649" width="14.42578125" style="102" customWidth="1"/>
    <col min="6650" max="6650" width="11.7109375" style="102" customWidth="1"/>
    <col min="6651" max="6651" width="7.28515625" style="102" customWidth="1"/>
    <col min="6652" max="6652" width="8.85546875" style="102"/>
    <col min="6653" max="6653" width="22.5703125" style="102" customWidth="1"/>
    <col min="6654" max="6654" width="8.85546875" style="102"/>
    <col min="6655" max="6655" width="10.28515625" style="102" customWidth="1"/>
    <col min="6656" max="6656" width="10.5703125" style="102" customWidth="1"/>
    <col min="6657" max="6902" width="8.85546875" style="102"/>
    <col min="6903" max="6903" width="9.28515625" style="102" bestFit="1" customWidth="1"/>
    <col min="6904" max="6904" width="9" style="102" bestFit="1" customWidth="1"/>
    <col min="6905" max="6905" width="14.42578125" style="102" customWidth="1"/>
    <col min="6906" max="6906" width="11.7109375" style="102" customWidth="1"/>
    <col min="6907" max="6907" width="7.28515625" style="102" customWidth="1"/>
    <col min="6908" max="6908" width="8.85546875" style="102"/>
    <col min="6909" max="6909" width="22.5703125" style="102" customWidth="1"/>
    <col min="6910" max="6910" width="8.85546875" style="102"/>
    <col min="6911" max="6911" width="10.28515625" style="102" customWidth="1"/>
    <col min="6912" max="6912" width="10.5703125" style="102" customWidth="1"/>
    <col min="6913" max="7158" width="8.85546875" style="102"/>
    <col min="7159" max="7159" width="9.28515625" style="102" bestFit="1" customWidth="1"/>
    <col min="7160" max="7160" width="9" style="102" bestFit="1" customWidth="1"/>
    <col min="7161" max="7161" width="14.42578125" style="102" customWidth="1"/>
    <col min="7162" max="7162" width="11.7109375" style="102" customWidth="1"/>
    <col min="7163" max="7163" width="7.28515625" style="102" customWidth="1"/>
    <col min="7164" max="7164" width="8.85546875" style="102"/>
    <col min="7165" max="7165" width="22.5703125" style="102" customWidth="1"/>
    <col min="7166" max="7166" width="8.85546875" style="102"/>
    <col min="7167" max="7167" width="10.28515625" style="102" customWidth="1"/>
    <col min="7168" max="7168" width="10.5703125" style="102" customWidth="1"/>
    <col min="7169" max="7414" width="8.85546875" style="102"/>
    <col min="7415" max="7415" width="9.28515625" style="102" bestFit="1" customWidth="1"/>
    <col min="7416" max="7416" width="9" style="102" bestFit="1" customWidth="1"/>
    <col min="7417" max="7417" width="14.42578125" style="102" customWidth="1"/>
    <col min="7418" max="7418" width="11.7109375" style="102" customWidth="1"/>
    <col min="7419" max="7419" width="7.28515625" style="102" customWidth="1"/>
    <col min="7420" max="7420" width="8.85546875" style="102"/>
    <col min="7421" max="7421" width="22.5703125" style="102" customWidth="1"/>
    <col min="7422" max="7422" width="8.85546875" style="102"/>
    <col min="7423" max="7423" width="10.28515625" style="102" customWidth="1"/>
    <col min="7424" max="7424" width="10.5703125" style="102" customWidth="1"/>
    <col min="7425" max="7670" width="8.85546875" style="102"/>
    <col min="7671" max="7671" width="9.28515625" style="102" bestFit="1" customWidth="1"/>
    <col min="7672" max="7672" width="9" style="102" bestFit="1" customWidth="1"/>
    <col min="7673" max="7673" width="14.42578125" style="102" customWidth="1"/>
    <col min="7674" max="7674" width="11.7109375" style="102" customWidth="1"/>
    <col min="7675" max="7675" width="7.28515625" style="102" customWidth="1"/>
    <col min="7676" max="7676" width="8.85546875" style="102"/>
    <col min="7677" max="7677" width="22.5703125" style="102" customWidth="1"/>
    <col min="7678" max="7678" width="8.85546875" style="102"/>
    <col min="7679" max="7679" width="10.28515625" style="102" customWidth="1"/>
    <col min="7680" max="7680" width="10.5703125" style="102" customWidth="1"/>
    <col min="7681" max="7926" width="8.85546875" style="102"/>
    <col min="7927" max="7927" width="9.28515625" style="102" bestFit="1" customWidth="1"/>
    <col min="7928" max="7928" width="9" style="102" bestFit="1" customWidth="1"/>
    <col min="7929" max="7929" width="14.42578125" style="102" customWidth="1"/>
    <col min="7930" max="7930" width="11.7109375" style="102" customWidth="1"/>
    <col min="7931" max="7931" width="7.28515625" style="102" customWidth="1"/>
    <col min="7932" max="7932" width="8.85546875" style="102"/>
    <col min="7933" max="7933" width="22.5703125" style="102" customWidth="1"/>
    <col min="7934" max="7934" width="8.85546875" style="102"/>
    <col min="7935" max="7935" width="10.28515625" style="102" customWidth="1"/>
    <col min="7936" max="7936" width="10.5703125" style="102" customWidth="1"/>
    <col min="7937" max="8182" width="8.85546875" style="102"/>
    <col min="8183" max="8183" width="9.28515625" style="102" bestFit="1" customWidth="1"/>
    <col min="8184" max="8184" width="9" style="102" bestFit="1" customWidth="1"/>
    <col min="8185" max="8185" width="14.42578125" style="102" customWidth="1"/>
    <col min="8186" max="8186" width="11.7109375" style="102" customWidth="1"/>
    <col min="8187" max="8187" width="7.28515625" style="102" customWidth="1"/>
    <col min="8188" max="8188" width="8.85546875" style="102"/>
    <col min="8189" max="8189" width="22.5703125" style="102" customWidth="1"/>
    <col min="8190" max="8190" width="8.85546875" style="102"/>
    <col min="8191" max="8191" width="10.28515625" style="102" customWidth="1"/>
    <col min="8192" max="8192" width="10.5703125" style="102" customWidth="1"/>
    <col min="8193" max="8438" width="8.85546875" style="102"/>
    <col min="8439" max="8439" width="9.28515625" style="102" bestFit="1" customWidth="1"/>
    <col min="8440" max="8440" width="9" style="102" bestFit="1" customWidth="1"/>
    <col min="8441" max="8441" width="14.42578125" style="102" customWidth="1"/>
    <col min="8442" max="8442" width="11.7109375" style="102" customWidth="1"/>
    <col min="8443" max="8443" width="7.28515625" style="102" customWidth="1"/>
    <col min="8444" max="8444" width="8.85546875" style="102"/>
    <col min="8445" max="8445" width="22.5703125" style="102" customWidth="1"/>
    <col min="8446" max="8446" width="8.85546875" style="102"/>
    <col min="8447" max="8447" width="10.28515625" style="102" customWidth="1"/>
    <col min="8448" max="8448" width="10.5703125" style="102" customWidth="1"/>
    <col min="8449" max="8694" width="8.85546875" style="102"/>
    <col min="8695" max="8695" width="9.28515625" style="102" bestFit="1" customWidth="1"/>
    <col min="8696" max="8696" width="9" style="102" bestFit="1" customWidth="1"/>
    <col min="8697" max="8697" width="14.42578125" style="102" customWidth="1"/>
    <col min="8698" max="8698" width="11.7109375" style="102" customWidth="1"/>
    <col min="8699" max="8699" width="7.28515625" style="102" customWidth="1"/>
    <col min="8700" max="8700" width="8.85546875" style="102"/>
    <col min="8701" max="8701" width="22.5703125" style="102" customWidth="1"/>
    <col min="8702" max="8702" width="8.85546875" style="102"/>
    <col min="8703" max="8703" width="10.28515625" style="102" customWidth="1"/>
    <col min="8704" max="8704" width="10.5703125" style="102" customWidth="1"/>
    <col min="8705" max="8950" width="8.85546875" style="102"/>
    <col min="8951" max="8951" width="9.28515625" style="102" bestFit="1" customWidth="1"/>
    <col min="8952" max="8952" width="9" style="102" bestFit="1" customWidth="1"/>
    <col min="8953" max="8953" width="14.42578125" style="102" customWidth="1"/>
    <col min="8954" max="8954" width="11.7109375" style="102" customWidth="1"/>
    <col min="8955" max="8955" width="7.28515625" style="102" customWidth="1"/>
    <col min="8956" max="8956" width="8.85546875" style="102"/>
    <col min="8957" max="8957" width="22.5703125" style="102" customWidth="1"/>
    <col min="8958" max="8958" width="8.85546875" style="102"/>
    <col min="8959" max="8959" width="10.28515625" style="102" customWidth="1"/>
    <col min="8960" max="8960" width="10.5703125" style="102" customWidth="1"/>
    <col min="8961" max="9206" width="8.85546875" style="102"/>
    <col min="9207" max="9207" width="9.28515625" style="102" bestFit="1" customWidth="1"/>
    <col min="9208" max="9208" width="9" style="102" bestFit="1" customWidth="1"/>
    <col min="9209" max="9209" width="14.42578125" style="102" customWidth="1"/>
    <col min="9210" max="9210" width="11.7109375" style="102" customWidth="1"/>
    <col min="9211" max="9211" width="7.28515625" style="102" customWidth="1"/>
    <col min="9212" max="9212" width="8.85546875" style="102"/>
    <col min="9213" max="9213" width="22.5703125" style="102" customWidth="1"/>
    <col min="9214" max="9214" width="8.85546875" style="102"/>
    <col min="9215" max="9215" width="10.28515625" style="102" customWidth="1"/>
    <col min="9216" max="9216" width="10.5703125" style="102" customWidth="1"/>
    <col min="9217" max="9462" width="8.85546875" style="102"/>
    <col min="9463" max="9463" width="9.28515625" style="102" bestFit="1" customWidth="1"/>
    <col min="9464" max="9464" width="9" style="102" bestFit="1" customWidth="1"/>
    <col min="9465" max="9465" width="14.42578125" style="102" customWidth="1"/>
    <col min="9466" max="9466" width="11.7109375" style="102" customWidth="1"/>
    <col min="9467" max="9467" width="7.28515625" style="102" customWidth="1"/>
    <col min="9468" max="9468" width="8.85546875" style="102"/>
    <col min="9469" max="9469" width="22.5703125" style="102" customWidth="1"/>
    <col min="9470" max="9470" width="8.85546875" style="102"/>
    <col min="9471" max="9471" width="10.28515625" style="102" customWidth="1"/>
    <col min="9472" max="9472" width="10.5703125" style="102" customWidth="1"/>
    <col min="9473" max="9718" width="8.85546875" style="102"/>
    <col min="9719" max="9719" width="9.28515625" style="102" bestFit="1" customWidth="1"/>
    <col min="9720" max="9720" width="9" style="102" bestFit="1" customWidth="1"/>
    <col min="9721" max="9721" width="14.42578125" style="102" customWidth="1"/>
    <col min="9722" max="9722" width="11.7109375" style="102" customWidth="1"/>
    <col min="9723" max="9723" width="7.28515625" style="102" customWidth="1"/>
    <col min="9724" max="9724" width="8.85546875" style="102"/>
    <col min="9725" max="9725" width="22.5703125" style="102" customWidth="1"/>
    <col min="9726" max="9726" width="8.85546875" style="102"/>
    <col min="9727" max="9727" width="10.28515625" style="102" customWidth="1"/>
    <col min="9728" max="9728" width="10.5703125" style="102" customWidth="1"/>
    <col min="9729" max="9974" width="8.85546875" style="102"/>
    <col min="9975" max="9975" width="9.28515625" style="102" bestFit="1" customWidth="1"/>
    <col min="9976" max="9976" width="9" style="102" bestFit="1" customWidth="1"/>
    <col min="9977" max="9977" width="14.42578125" style="102" customWidth="1"/>
    <col min="9978" max="9978" width="11.7109375" style="102" customWidth="1"/>
    <col min="9979" max="9979" width="7.28515625" style="102" customWidth="1"/>
    <col min="9980" max="9980" width="8.85546875" style="102"/>
    <col min="9981" max="9981" width="22.5703125" style="102" customWidth="1"/>
    <col min="9982" max="9982" width="8.85546875" style="102"/>
    <col min="9983" max="9983" width="10.28515625" style="102" customWidth="1"/>
    <col min="9984" max="9984" width="10.5703125" style="102" customWidth="1"/>
    <col min="9985" max="10230" width="8.85546875" style="102"/>
    <col min="10231" max="10231" width="9.28515625" style="102" bestFit="1" customWidth="1"/>
    <col min="10232" max="10232" width="9" style="102" bestFit="1" customWidth="1"/>
    <col min="10233" max="10233" width="14.42578125" style="102" customWidth="1"/>
    <col min="10234" max="10234" width="11.7109375" style="102" customWidth="1"/>
    <col min="10235" max="10235" width="7.28515625" style="102" customWidth="1"/>
    <col min="10236" max="10236" width="8.85546875" style="102"/>
    <col min="10237" max="10237" width="22.5703125" style="102" customWidth="1"/>
    <col min="10238" max="10238" width="8.85546875" style="102"/>
    <col min="10239" max="10239" width="10.28515625" style="102" customWidth="1"/>
    <col min="10240" max="10240" width="10.5703125" style="102" customWidth="1"/>
    <col min="10241" max="10486" width="8.85546875" style="102"/>
    <col min="10487" max="10487" width="9.28515625" style="102" bestFit="1" customWidth="1"/>
    <col min="10488" max="10488" width="9" style="102" bestFit="1" customWidth="1"/>
    <col min="10489" max="10489" width="14.42578125" style="102" customWidth="1"/>
    <col min="10490" max="10490" width="11.7109375" style="102" customWidth="1"/>
    <col min="10491" max="10491" width="7.28515625" style="102" customWidth="1"/>
    <col min="10492" max="10492" width="8.85546875" style="102"/>
    <col min="10493" max="10493" width="22.5703125" style="102" customWidth="1"/>
    <col min="10494" max="10494" width="8.85546875" style="102"/>
    <col min="10495" max="10495" width="10.28515625" style="102" customWidth="1"/>
    <col min="10496" max="10496" width="10.5703125" style="102" customWidth="1"/>
    <col min="10497" max="10742" width="8.85546875" style="102"/>
    <col min="10743" max="10743" width="9.28515625" style="102" bestFit="1" customWidth="1"/>
    <col min="10744" max="10744" width="9" style="102" bestFit="1" customWidth="1"/>
    <col min="10745" max="10745" width="14.42578125" style="102" customWidth="1"/>
    <col min="10746" max="10746" width="11.7109375" style="102" customWidth="1"/>
    <col min="10747" max="10747" width="7.28515625" style="102" customWidth="1"/>
    <col min="10748" max="10748" width="8.85546875" style="102"/>
    <col min="10749" max="10749" width="22.5703125" style="102" customWidth="1"/>
    <col min="10750" max="10750" width="8.85546875" style="102"/>
    <col min="10751" max="10751" width="10.28515625" style="102" customWidth="1"/>
    <col min="10752" max="10752" width="10.5703125" style="102" customWidth="1"/>
    <col min="10753" max="10998" width="8.85546875" style="102"/>
    <col min="10999" max="10999" width="9.28515625" style="102" bestFit="1" customWidth="1"/>
    <col min="11000" max="11000" width="9" style="102" bestFit="1" customWidth="1"/>
    <col min="11001" max="11001" width="14.42578125" style="102" customWidth="1"/>
    <col min="11002" max="11002" width="11.7109375" style="102" customWidth="1"/>
    <col min="11003" max="11003" width="7.28515625" style="102" customWidth="1"/>
    <col min="11004" max="11004" width="8.85546875" style="102"/>
    <col min="11005" max="11005" width="22.5703125" style="102" customWidth="1"/>
    <col min="11006" max="11006" width="8.85546875" style="102"/>
    <col min="11007" max="11007" width="10.28515625" style="102" customWidth="1"/>
    <col min="11008" max="11008" width="10.5703125" style="102" customWidth="1"/>
    <col min="11009" max="11254" width="8.85546875" style="102"/>
    <col min="11255" max="11255" width="9.28515625" style="102" bestFit="1" customWidth="1"/>
    <col min="11256" max="11256" width="9" style="102" bestFit="1" customWidth="1"/>
    <col min="11257" max="11257" width="14.42578125" style="102" customWidth="1"/>
    <col min="11258" max="11258" width="11.7109375" style="102" customWidth="1"/>
    <col min="11259" max="11259" width="7.28515625" style="102" customWidth="1"/>
    <col min="11260" max="11260" width="8.85546875" style="102"/>
    <col min="11261" max="11261" width="22.5703125" style="102" customWidth="1"/>
    <col min="11262" max="11262" width="8.85546875" style="102"/>
    <col min="11263" max="11263" width="10.28515625" style="102" customWidth="1"/>
    <col min="11264" max="11264" width="10.5703125" style="102" customWidth="1"/>
    <col min="11265" max="11510" width="8.85546875" style="102"/>
    <col min="11511" max="11511" width="9.28515625" style="102" bestFit="1" customWidth="1"/>
    <col min="11512" max="11512" width="9" style="102" bestFit="1" customWidth="1"/>
    <col min="11513" max="11513" width="14.42578125" style="102" customWidth="1"/>
    <col min="11514" max="11514" width="11.7109375" style="102" customWidth="1"/>
    <col min="11515" max="11515" width="7.28515625" style="102" customWidth="1"/>
    <col min="11516" max="11516" width="8.85546875" style="102"/>
    <col min="11517" max="11517" width="22.5703125" style="102" customWidth="1"/>
    <col min="11518" max="11518" width="8.85546875" style="102"/>
    <col min="11519" max="11519" width="10.28515625" style="102" customWidth="1"/>
    <col min="11520" max="11520" width="10.5703125" style="102" customWidth="1"/>
    <col min="11521" max="11766" width="8.85546875" style="102"/>
    <col min="11767" max="11767" width="9.28515625" style="102" bestFit="1" customWidth="1"/>
    <col min="11768" max="11768" width="9" style="102" bestFit="1" customWidth="1"/>
    <col min="11769" max="11769" width="14.42578125" style="102" customWidth="1"/>
    <col min="11770" max="11770" width="11.7109375" style="102" customWidth="1"/>
    <col min="11771" max="11771" width="7.28515625" style="102" customWidth="1"/>
    <col min="11772" max="11772" width="8.85546875" style="102"/>
    <col min="11773" max="11773" width="22.5703125" style="102" customWidth="1"/>
    <col min="11774" max="11774" width="8.85546875" style="102"/>
    <col min="11775" max="11775" width="10.28515625" style="102" customWidth="1"/>
    <col min="11776" max="11776" width="10.5703125" style="102" customWidth="1"/>
    <col min="11777" max="12022" width="8.85546875" style="102"/>
    <col min="12023" max="12023" width="9.28515625" style="102" bestFit="1" customWidth="1"/>
    <col min="12024" max="12024" width="9" style="102" bestFit="1" customWidth="1"/>
    <col min="12025" max="12025" width="14.42578125" style="102" customWidth="1"/>
    <col min="12026" max="12026" width="11.7109375" style="102" customWidth="1"/>
    <col min="12027" max="12027" width="7.28515625" style="102" customWidth="1"/>
    <col min="12028" max="12028" width="8.85546875" style="102"/>
    <col min="12029" max="12029" width="22.5703125" style="102" customWidth="1"/>
    <col min="12030" max="12030" width="8.85546875" style="102"/>
    <col min="12031" max="12031" width="10.28515625" style="102" customWidth="1"/>
    <col min="12032" max="12032" width="10.5703125" style="102" customWidth="1"/>
    <col min="12033" max="12278" width="8.85546875" style="102"/>
    <col min="12279" max="12279" width="9.28515625" style="102" bestFit="1" customWidth="1"/>
    <col min="12280" max="12280" width="9" style="102" bestFit="1" customWidth="1"/>
    <col min="12281" max="12281" width="14.42578125" style="102" customWidth="1"/>
    <col min="12282" max="12282" width="11.7109375" style="102" customWidth="1"/>
    <col min="12283" max="12283" width="7.28515625" style="102" customWidth="1"/>
    <col min="12284" max="12284" width="8.85546875" style="102"/>
    <col min="12285" max="12285" width="22.5703125" style="102" customWidth="1"/>
    <col min="12286" max="12286" width="8.85546875" style="102"/>
    <col min="12287" max="12287" width="10.28515625" style="102" customWidth="1"/>
    <col min="12288" max="12288" width="10.5703125" style="102" customWidth="1"/>
    <col min="12289" max="12534" width="8.85546875" style="102"/>
    <col min="12535" max="12535" width="9.28515625" style="102" bestFit="1" customWidth="1"/>
    <col min="12536" max="12536" width="9" style="102" bestFit="1" customWidth="1"/>
    <col min="12537" max="12537" width="14.42578125" style="102" customWidth="1"/>
    <col min="12538" max="12538" width="11.7109375" style="102" customWidth="1"/>
    <col min="12539" max="12539" width="7.28515625" style="102" customWidth="1"/>
    <col min="12540" max="12540" width="8.85546875" style="102"/>
    <col min="12541" max="12541" width="22.5703125" style="102" customWidth="1"/>
    <col min="12542" max="12542" width="8.85546875" style="102"/>
    <col min="12543" max="12543" width="10.28515625" style="102" customWidth="1"/>
    <col min="12544" max="12544" width="10.5703125" style="102" customWidth="1"/>
    <col min="12545" max="12790" width="8.85546875" style="102"/>
    <col min="12791" max="12791" width="9.28515625" style="102" bestFit="1" customWidth="1"/>
    <col min="12792" max="12792" width="9" style="102" bestFit="1" customWidth="1"/>
    <col min="12793" max="12793" width="14.42578125" style="102" customWidth="1"/>
    <col min="12794" max="12794" width="11.7109375" style="102" customWidth="1"/>
    <col min="12795" max="12795" width="7.28515625" style="102" customWidth="1"/>
    <col min="12796" max="12796" width="8.85546875" style="102"/>
    <col min="12797" max="12797" width="22.5703125" style="102" customWidth="1"/>
    <col min="12798" max="12798" width="8.85546875" style="102"/>
    <col min="12799" max="12799" width="10.28515625" style="102" customWidth="1"/>
    <col min="12800" max="12800" width="10.5703125" style="102" customWidth="1"/>
    <col min="12801" max="13046" width="8.85546875" style="102"/>
    <col min="13047" max="13047" width="9.28515625" style="102" bestFit="1" customWidth="1"/>
    <col min="13048" max="13048" width="9" style="102" bestFit="1" customWidth="1"/>
    <col min="13049" max="13049" width="14.42578125" style="102" customWidth="1"/>
    <col min="13050" max="13050" width="11.7109375" style="102" customWidth="1"/>
    <col min="13051" max="13051" width="7.28515625" style="102" customWidth="1"/>
    <col min="13052" max="13052" width="8.85546875" style="102"/>
    <col min="13053" max="13053" width="22.5703125" style="102" customWidth="1"/>
    <col min="13054" max="13054" width="8.85546875" style="102"/>
    <col min="13055" max="13055" width="10.28515625" style="102" customWidth="1"/>
    <col min="13056" max="13056" width="10.5703125" style="102" customWidth="1"/>
    <col min="13057" max="13302" width="8.85546875" style="102"/>
    <col min="13303" max="13303" width="9.28515625" style="102" bestFit="1" customWidth="1"/>
    <col min="13304" max="13304" width="9" style="102" bestFit="1" customWidth="1"/>
    <col min="13305" max="13305" width="14.42578125" style="102" customWidth="1"/>
    <col min="13306" max="13306" width="11.7109375" style="102" customWidth="1"/>
    <col min="13307" max="13307" width="7.28515625" style="102" customWidth="1"/>
    <col min="13308" max="13308" width="8.85546875" style="102"/>
    <col min="13309" max="13309" width="22.5703125" style="102" customWidth="1"/>
    <col min="13310" max="13310" width="8.85546875" style="102"/>
    <col min="13311" max="13311" width="10.28515625" style="102" customWidth="1"/>
    <col min="13312" max="13312" width="10.5703125" style="102" customWidth="1"/>
    <col min="13313" max="13558" width="8.85546875" style="102"/>
    <col min="13559" max="13559" width="9.28515625" style="102" bestFit="1" customWidth="1"/>
    <col min="13560" max="13560" width="9" style="102" bestFit="1" customWidth="1"/>
    <col min="13561" max="13561" width="14.42578125" style="102" customWidth="1"/>
    <col min="13562" max="13562" width="11.7109375" style="102" customWidth="1"/>
    <col min="13563" max="13563" width="7.28515625" style="102" customWidth="1"/>
    <col min="13564" max="13564" width="8.85546875" style="102"/>
    <col min="13565" max="13565" width="22.5703125" style="102" customWidth="1"/>
    <col min="13566" max="13566" width="8.85546875" style="102"/>
    <col min="13567" max="13567" width="10.28515625" style="102" customWidth="1"/>
    <col min="13568" max="13568" width="10.5703125" style="102" customWidth="1"/>
    <col min="13569" max="13814" width="8.85546875" style="102"/>
    <col min="13815" max="13815" width="9.28515625" style="102" bestFit="1" customWidth="1"/>
    <col min="13816" max="13816" width="9" style="102" bestFit="1" customWidth="1"/>
    <col min="13817" max="13817" width="14.42578125" style="102" customWidth="1"/>
    <col min="13818" max="13818" width="11.7109375" style="102" customWidth="1"/>
    <col min="13819" max="13819" width="7.28515625" style="102" customWidth="1"/>
    <col min="13820" max="13820" width="8.85546875" style="102"/>
    <col min="13821" max="13821" width="22.5703125" style="102" customWidth="1"/>
    <col min="13822" max="13822" width="8.85546875" style="102"/>
    <col min="13823" max="13823" width="10.28515625" style="102" customWidth="1"/>
    <col min="13824" max="13824" width="10.5703125" style="102" customWidth="1"/>
    <col min="13825" max="14070" width="8.85546875" style="102"/>
    <col min="14071" max="14071" width="9.28515625" style="102" bestFit="1" customWidth="1"/>
    <col min="14072" max="14072" width="9" style="102" bestFit="1" customWidth="1"/>
    <col min="14073" max="14073" width="14.42578125" style="102" customWidth="1"/>
    <col min="14074" max="14074" width="11.7109375" style="102" customWidth="1"/>
    <col min="14075" max="14075" width="7.28515625" style="102" customWidth="1"/>
    <col min="14076" max="14076" width="8.85546875" style="102"/>
    <col min="14077" max="14077" width="22.5703125" style="102" customWidth="1"/>
    <col min="14078" max="14078" width="8.85546875" style="102"/>
    <col min="14079" max="14079" width="10.28515625" style="102" customWidth="1"/>
    <col min="14080" max="14080" width="10.5703125" style="102" customWidth="1"/>
    <col min="14081" max="14326" width="8.85546875" style="102"/>
    <col min="14327" max="14327" width="9.28515625" style="102" bestFit="1" customWidth="1"/>
    <col min="14328" max="14328" width="9" style="102" bestFit="1" customWidth="1"/>
    <col min="14329" max="14329" width="14.42578125" style="102" customWidth="1"/>
    <col min="14330" max="14330" width="11.7109375" style="102" customWidth="1"/>
    <col min="14331" max="14331" width="7.28515625" style="102" customWidth="1"/>
    <col min="14332" max="14332" width="8.85546875" style="102"/>
    <col min="14333" max="14333" width="22.5703125" style="102" customWidth="1"/>
    <col min="14334" max="14334" width="8.85546875" style="102"/>
    <col min="14335" max="14335" width="10.28515625" style="102" customWidth="1"/>
    <col min="14336" max="14336" width="10.5703125" style="102" customWidth="1"/>
    <col min="14337" max="14582" width="8.85546875" style="102"/>
    <col min="14583" max="14583" width="9.28515625" style="102" bestFit="1" customWidth="1"/>
    <col min="14584" max="14584" width="9" style="102" bestFit="1" customWidth="1"/>
    <col min="14585" max="14585" width="14.42578125" style="102" customWidth="1"/>
    <col min="14586" max="14586" width="11.7109375" style="102" customWidth="1"/>
    <col min="14587" max="14587" width="7.28515625" style="102" customWidth="1"/>
    <col min="14588" max="14588" width="8.85546875" style="102"/>
    <col min="14589" max="14589" width="22.5703125" style="102" customWidth="1"/>
    <col min="14590" max="14590" width="8.85546875" style="102"/>
    <col min="14591" max="14591" width="10.28515625" style="102" customWidth="1"/>
    <col min="14592" max="14592" width="10.5703125" style="102" customWidth="1"/>
    <col min="14593" max="14838" width="8.85546875" style="102"/>
    <col min="14839" max="14839" width="9.28515625" style="102" bestFit="1" customWidth="1"/>
    <col min="14840" max="14840" width="9" style="102" bestFit="1" customWidth="1"/>
    <col min="14841" max="14841" width="14.42578125" style="102" customWidth="1"/>
    <col min="14842" max="14842" width="11.7109375" style="102" customWidth="1"/>
    <col min="14843" max="14843" width="7.28515625" style="102" customWidth="1"/>
    <col min="14844" max="14844" width="8.85546875" style="102"/>
    <col min="14845" max="14845" width="22.5703125" style="102" customWidth="1"/>
    <col min="14846" max="14846" width="8.85546875" style="102"/>
    <col min="14847" max="14847" width="10.28515625" style="102" customWidth="1"/>
    <col min="14848" max="14848" width="10.5703125" style="102" customWidth="1"/>
    <col min="14849" max="15094" width="8.85546875" style="102"/>
    <col min="15095" max="15095" width="9.28515625" style="102" bestFit="1" customWidth="1"/>
    <col min="15096" max="15096" width="9" style="102" bestFit="1" customWidth="1"/>
    <col min="15097" max="15097" width="14.42578125" style="102" customWidth="1"/>
    <col min="15098" max="15098" width="11.7109375" style="102" customWidth="1"/>
    <col min="15099" max="15099" width="7.28515625" style="102" customWidth="1"/>
    <col min="15100" max="15100" width="8.85546875" style="102"/>
    <col min="15101" max="15101" width="22.5703125" style="102" customWidth="1"/>
    <col min="15102" max="15102" width="8.85546875" style="102"/>
    <col min="15103" max="15103" width="10.28515625" style="102" customWidth="1"/>
    <col min="15104" max="15104" width="10.5703125" style="102" customWidth="1"/>
    <col min="15105" max="15350" width="8.85546875" style="102"/>
    <col min="15351" max="15351" width="9.28515625" style="102" bestFit="1" customWidth="1"/>
    <col min="15352" max="15352" width="9" style="102" bestFit="1" customWidth="1"/>
    <col min="15353" max="15353" width="14.42578125" style="102" customWidth="1"/>
    <col min="15354" max="15354" width="11.7109375" style="102" customWidth="1"/>
    <col min="15355" max="15355" width="7.28515625" style="102" customWidth="1"/>
    <col min="15356" max="15356" width="8.85546875" style="102"/>
    <col min="15357" max="15357" width="22.5703125" style="102" customWidth="1"/>
    <col min="15358" max="15358" width="8.85546875" style="102"/>
    <col min="15359" max="15359" width="10.28515625" style="102" customWidth="1"/>
    <col min="15360" max="15360" width="10.5703125" style="102" customWidth="1"/>
    <col min="15361" max="15606" width="8.85546875" style="102"/>
    <col min="15607" max="15607" width="9.28515625" style="102" bestFit="1" customWidth="1"/>
    <col min="15608" max="15608" width="9" style="102" bestFit="1" customWidth="1"/>
    <col min="15609" max="15609" width="14.42578125" style="102" customWidth="1"/>
    <col min="15610" max="15610" width="11.7109375" style="102" customWidth="1"/>
    <col min="15611" max="15611" width="7.28515625" style="102" customWidth="1"/>
    <col min="15612" max="15612" width="8.85546875" style="102"/>
    <col min="15613" max="15613" width="22.5703125" style="102" customWidth="1"/>
    <col min="15614" max="15614" width="8.85546875" style="102"/>
    <col min="15615" max="15615" width="10.28515625" style="102" customWidth="1"/>
    <col min="15616" max="15616" width="10.5703125" style="102" customWidth="1"/>
    <col min="15617" max="15862" width="8.85546875" style="102"/>
    <col min="15863" max="15863" width="9.28515625" style="102" bestFit="1" customWidth="1"/>
    <col min="15864" max="15864" width="9" style="102" bestFit="1" customWidth="1"/>
    <col min="15865" max="15865" width="14.42578125" style="102" customWidth="1"/>
    <col min="15866" max="15866" width="11.7109375" style="102" customWidth="1"/>
    <col min="15867" max="15867" width="7.28515625" style="102" customWidth="1"/>
    <col min="15868" max="15868" width="8.85546875" style="102"/>
    <col min="15869" max="15869" width="22.5703125" style="102" customWidth="1"/>
    <col min="15870" max="15870" width="8.85546875" style="102"/>
    <col min="15871" max="15871" width="10.28515625" style="102" customWidth="1"/>
    <col min="15872" max="15872" width="10.5703125" style="102" customWidth="1"/>
    <col min="15873" max="16118" width="8.85546875" style="102"/>
    <col min="16119" max="16119" width="9.28515625" style="102" bestFit="1" customWidth="1"/>
    <col min="16120" max="16120" width="9" style="102" bestFit="1" customWidth="1"/>
    <col min="16121" max="16121" width="14.42578125" style="102" customWidth="1"/>
    <col min="16122" max="16122" width="11.7109375" style="102" customWidth="1"/>
    <col min="16123" max="16123" width="7.28515625" style="102" customWidth="1"/>
    <col min="16124" max="16124" width="8.85546875" style="102"/>
    <col min="16125" max="16125" width="22.5703125" style="102" customWidth="1"/>
    <col min="16126" max="16126" width="8.85546875" style="102"/>
    <col min="16127" max="16127" width="10.28515625" style="102" customWidth="1"/>
    <col min="16128" max="16128" width="10.5703125" style="102" customWidth="1"/>
    <col min="16129" max="16384" width="8.85546875" style="102"/>
  </cols>
  <sheetData>
    <row r="1" spans="1:6" x14ac:dyDescent="0.2">
      <c r="A1" s="374" t="s">
        <v>246</v>
      </c>
      <c r="B1" s="374"/>
      <c r="C1" s="374"/>
      <c r="D1" s="374"/>
      <c r="E1" s="374"/>
      <c r="F1" s="272"/>
    </row>
    <row r="2" spans="1:6" x14ac:dyDescent="0.2">
      <c r="A2" s="273" t="s">
        <v>121</v>
      </c>
      <c r="B2" s="273" t="s">
        <v>107</v>
      </c>
      <c r="C2" s="273" t="s">
        <v>108</v>
      </c>
      <c r="D2" s="273" t="s">
        <v>105</v>
      </c>
      <c r="E2" s="273" t="s">
        <v>96</v>
      </c>
      <c r="F2" s="272"/>
    </row>
    <row r="3" spans="1:6" x14ac:dyDescent="0.2">
      <c r="A3" s="273" t="s">
        <v>110</v>
      </c>
      <c r="B3" s="273"/>
      <c r="C3" s="274" t="s">
        <v>111</v>
      </c>
      <c r="D3" s="275">
        <v>9292.01</v>
      </c>
      <c r="E3" s="276" t="s">
        <v>109</v>
      </c>
      <c r="F3" s="277"/>
    </row>
    <row r="4" spans="1:6" x14ac:dyDescent="0.2">
      <c r="A4" s="273" t="s">
        <v>112</v>
      </c>
      <c r="B4" s="273"/>
      <c r="C4" s="274" t="s">
        <v>113</v>
      </c>
      <c r="D4" s="275">
        <v>17325.37</v>
      </c>
      <c r="E4" s="276" t="s">
        <v>109</v>
      </c>
      <c r="F4" s="277"/>
    </row>
    <row r="5" spans="1:6" x14ac:dyDescent="0.2">
      <c r="A5" s="273" t="s">
        <v>114</v>
      </c>
      <c r="B5" s="273"/>
      <c r="C5" s="274" t="s">
        <v>115</v>
      </c>
      <c r="D5" s="275">
        <v>9379.1</v>
      </c>
      <c r="E5" s="276" t="s">
        <v>109</v>
      </c>
      <c r="F5" s="277"/>
    </row>
    <row r="6" spans="1:6" x14ac:dyDescent="0.2">
      <c r="A6" s="273" t="s">
        <v>116</v>
      </c>
      <c r="B6" s="273"/>
      <c r="C6" s="274" t="s">
        <v>117</v>
      </c>
      <c r="D6" s="275">
        <v>6128.05</v>
      </c>
      <c r="E6" s="276" t="s">
        <v>109</v>
      </c>
      <c r="F6" s="277"/>
    </row>
    <row r="7" spans="1:6" x14ac:dyDescent="0.2">
      <c r="A7" s="273" t="s">
        <v>118</v>
      </c>
      <c r="B7" s="273"/>
      <c r="C7" s="274" t="s">
        <v>248</v>
      </c>
      <c r="D7" s="275">
        <v>5514.41</v>
      </c>
      <c r="E7" s="276" t="s">
        <v>109</v>
      </c>
      <c r="F7" s="277"/>
    </row>
    <row r="8" spans="1:6" ht="15" x14ac:dyDescent="0.25">
      <c r="A8" s="365" t="s">
        <v>249</v>
      </c>
      <c r="B8" s="366"/>
      <c r="C8" s="367"/>
      <c r="D8" s="278">
        <f>SUM(D3:D7)/1000</f>
        <v>47.638940000000005</v>
      </c>
      <c r="E8" s="276" t="s">
        <v>3</v>
      </c>
      <c r="F8" s="277"/>
    </row>
    <row r="9" spans="1:6" x14ac:dyDescent="0.2">
      <c r="A9" s="349"/>
      <c r="B9" s="350"/>
      <c r="C9" s="350"/>
      <c r="D9" s="350"/>
      <c r="E9" s="351"/>
      <c r="F9" s="277"/>
    </row>
    <row r="10" spans="1:6" ht="15" x14ac:dyDescent="0.25">
      <c r="A10" s="365" t="s">
        <v>250</v>
      </c>
      <c r="B10" s="366"/>
      <c r="C10" s="367"/>
      <c r="D10" s="279">
        <f>D8</f>
        <v>47.638940000000005</v>
      </c>
      <c r="E10" s="276" t="s">
        <v>3</v>
      </c>
      <c r="F10" s="277"/>
    </row>
    <row r="11" spans="1:6" x14ac:dyDescent="0.2">
      <c r="A11" s="349"/>
      <c r="B11" s="350"/>
      <c r="C11" s="350"/>
      <c r="D11" s="350"/>
      <c r="E11" s="351"/>
      <c r="F11" s="280"/>
    </row>
    <row r="12" spans="1:6" ht="15" x14ac:dyDescent="0.25">
      <c r="A12" s="352" t="s">
        <v>251</v>
      </c>
      <c r="B12" s="353"/>
      <c r="C12" s="354"/>
      <c r="D12" s="281">
        <v>3</v>
      </c>
      <c r="E12" s="282" t="s">
        <v>3</v>
      </c>
      <c r="F12" s="277"/>
    </row>
    <row r="13" spans="1:6" x14ac:dyDescent="0.2">
      <c r="A13" s="349"/>
      <c r="B13" s="350"/>
      <c r="C13" s="350"/>
      <c r="D13" s="350"/>
      <c r="E13" s="351"/>
      <c r="F13" s="277"/>
    </row>
    <row r="14" spans="1:6" ht="15" x14ac:dyDescent="0.25">
      <c r="A14" s="365" t="s">
        <v>126</v>
      </c>
      <c r="B14" s="366"/>
      <c r="C14" s="367"/>
      <c r="D14" s="283">
        <f>D8+D10+D12</f>
        <v>98.27788000000001</v>
      </c>
      <c r="E14" s="282" t="s">
        <v>3</v>
      </c>
      <c r="F14" s="277"/>
    </row>
    <row r="15" spans="1:6" ht="15" x14ac:dyDescent="0.25">
      <c r="A15" s="284"/>
      <c r="B15" s="284"/>
      <c r="C15" s="284"/>
      <c r="D15" s="285"/>
      <c r="E15" s="286"/>
      <c r="F15" s="277"/>
    </row>
    <row r="16" spans="1:6" x14ac:dyDescent="0.2">
      <c r="A16" s="374" t="s">
        <v>247</v>
      </c>
      <c r="B16" s="374"/>
      <c r="C16" s="374"/>
      <c r="D16" s="374"/>
      <c r="E16" s="374"/>
      <c r="F16" s="280"/>
    </row>
    <row r="17" spans="1:6" x14ac:dyDescent="0.2">
      <c r="A17" s="273" t="s">
        <v>121</v>
      </c>
      <c r="B17" s="273" t="s">
        <v>107</v>
      </c>
      <c r="C17" s="273" t="s">
        <v>108</v>
      </c>
      <c r="D17" s="273" t="s">
        <v>105</v>
      </c>
      <c r="E17" s="273" t="s">
        <v>96</v>
      </c>
      <c r="F17" s="280"/>
    </row>
    <row r="18" spans="1:6" x14ac:dyDescent="0.2">
      <c r="A18" s="273" t="s">
        <v>110</v>
      </c>
      <c r="B18" s="273"/>
      <c r="C18" s="274" t="s">
        <v>111</v>
      </c>
      <c r="D18" s="275">
        <v>5521.23</v>
      </c>
      <c r="E18" s="276" t="s">
        <v>109</v>
      </c>
      <c r="F18" s="280"/>
    </row>
    <row r="19" spans="1:6" x14ac:dyDescent="0.2">
      <c r="A19" s="273" t="s">
        <v>112</v>
      </c>
      <c r="B19" s="273"/>
      <c r="C19" s="274" t="s">
        <v>113</v>
      </c>
      <c r="D19" s="275">
        <v>4590.75</v>
      </c>
      <c r="E19" s="276" t="s">
        <v>109</v>
      </c>
      <c r="F19" s="280"/>
    </row>
    <row r="20" spans="1:6" x14ac:dyDescent="0.2">
      <c r="A20" s="273" t="s">
        <v>114</v>
      </c>
      <c r="B20" s="273"/>
      <c r="C20" s="274" t="s">
        <v>115</v>
      </c>
      <c r="D20" s="275">
        <v>7890.35</v>
      </c>
      <c r="E20" s="276" t="s">
        <v>109</v>
      </c>
      <c r="F20" s="280"/>
    </row>
    <row r="21" spans="1:6" x14ac:dyDescent="0.2">
      <c r="A21" s="273" t="s">
        <v>116</v>
      </c>
      <c r="B21" s="273"/>
      <c r="C21" s="274" t="s">
        <v>117</v>
      </c>
      <c r="D21" s="275">
        <v>6790.47</v>
      </c>
      <c r="E21" s="276" t="s">
        <v>109</v>
      </c>
      <c r="F21" s="280"/>
    </row>
    <row r="22" spans="1:6" x14ac:dyDescent="0.2">
      <c r="A22" s="273" t="s">
        <v>118</v>
      </c>
      <c r="B22" s="273"/>
      <c r="C22" s="274" t="s">
        <v>248</v>
      </c>
      <c r="D22" s="275">
        <v>5735.61</v>
      </c>
      <c r="E22" s="276" t="s">
        <v>109</v>
      </c>
      <c r="F22" s="280"/>
    </row>
    <row r="23" spans="1:6" ht="15" x14ac:dyDescent="0.25">
      <c r="A23" s="365" t="s">
        <v>249</v>
      </c>
      <c r="B23" s="366"/>
      <c r="C23" s="367"/>
      <c r="D23" s="278">
        <f>SUM(D18:D22)/1000</f>
        <v>30.528410000000004</v>
      </c>
      <c r="E23" s="276" t="s">
        <v>3</v>
      </c>
      <c r="F23" s="280"/>
    </row>
    <row r="24" spans="1:6" x14ac:dyDescent="0.2">
      <c r="A24" s="349"/>
      <c r="B24" s="350"/>
      <c r="C24" s="350"/>
      <c r="D24" s="350"/>
      <c r="E24" s="351"/>
      <c r="F24" s="280"/>
    </row>
    <row r="25" spans="1:6" ht="15" x14ac:dyDescent="0.25">
      <c r="A25" s="365" t="s">
        <v>250</v>
      </c>
      <c r="B25" s="366"/>
      <c r="C25" s="367"/>
      <c r="D25" s="279">
        <f>D23</f>
        <v>30.528410000000004</v>
      </c>
      <c r="E25" s="276" t="s">
        <v>3</v>
      </c>
      <c r="F25" s="280"/>
    </row>
    <row r="26" spans="1:6" x14ac:dyDescent="0.2">
      <c r="A26" s="280"/>
      <c r="B26" s="280"/>
      <c r="C26" s="280"/>
      <c r="D26" s="280"/>
      <c r="E26" s="280"/>
      <c r="F26" s="280"/>
    </row>
    <row r="27" spans="1:6" ht="15" x14ac:dyDescent="0.25">
      <c r="A27" s="352" t="s">
        <v>251</v>
      </c>
      <c r="B27" s="353"/>
      <c r="C27" s="354"/>
      <c r="D27" s="281">
        <v>3</v>
      </c>
      <c r="E27" s="282" t="s">
        <v>3</v>
      </c>
      <c r="F27" s="280"/>
    </row>
    <row r="28" spans="1:6" x14ac:dyDescent="0.2">
      <c r="A28" s="349"/>
      <c r="B28" s="350"/>
      <c r="C28" s="350"/>
      <c r="D28" s="350"/>
      <c r="E28" s="351"/>
      <c r="F28" s="280"/>
    </row>
    <row r="29" spans="1:6" ht="15" x14ac:dyDescent="0.25">
      <c r="A29" s="365" t="s">
        <v>126</v>
      </c>
      <c r="B29" s="366"/>
      <c r="C29" s="367"/>
      <c r="D29" s="283">
        <f>D23+D25+D27</f>
        <v>64.056820000000016</v>
      </c>
      <c r="E29" s="282" t="s">
        <v>3</v>
      </c>
      <c r="F29" s="280"/>
    </row>
    <row r="30" spans="1:6" x14ac:dyDescent="0.2">
      <c r="F30" s="280"/>
    </row>
    <row r="31" spans="1:6" x14ac:dyDescent="0.2">
      <c r="A31" s="349" t="s">
        <v>252</v>
      </c>
      <c r="B31" s="350"/>
      <c r="C31" s="350"/>
      <c r="D31" s="350"/>
      <c r="E31" s="351"/>
    </row>
    <row r="32" spans="1:6" x14ac:dyDescent="0.2">
      <c r="A32" s="273" t="s">
        <v>121</v>
      </c>
      <c r="B32" s="273" t="s">
        <v>107</v>
      </c>
      <c r="C32" s="273" t="s">
        <v>108</v>
      </c>
      <c r="D32" s="273" t="s">
        <v>105</v>
      </c>
      <c r="E32" s="273" t="s">
        <v>96</v>
      </c>
    </row>
    <row r="33" spans="1:5" x14ac:dyDescent="0.2">
      <c r="A33" s="273" t="s">
        <v>110</v>
      </c>
      <c r="B33" s="273"/>
      <c r="C33" s="274" t="s">
        <v>111</v>
      </c>
      <c r="D33" s="275">
        <v>6762.65</v>
      </c>
      <c r="E33" s="276" t="s">
        <v>109</v>
      </c>
    </row>
    <row r="34" spans="1:5" x14ac:dyDescent="0.2">
      <c r="A34" s="273" t="s">
        <v>112</v>
      </c>
      <c r="B34" s="273"/>
      <c r="C34" s="274" t="s">
        <v>113</v>
      </c>
      <c r="D34" s="275">
        <v>9935.1299999999992</v>
      </c>
      <c r="E34" s="276" t="s">
        <v>109</v>
      </c>
    </row>
    <row r="35" spans="1:5" x14ac:dyDescent="0.2">
      <c r="A35" s="273" t="s">
        <v>114</v>
      </c>
      <c r="B35" s="273"/>
      <c r="C35" s="274" t="s">
        <v>115</v>
      </c>
      <c r="D35" s="275">
        <v>9444.7099999999991</v>
      </c>
      <c r="E35" s="276" t="s">
        <v>109</v>
      </c>
    </row>
    <row r="36" spans="1:5" x14ac:dyDescent="0.2">
      <c r="A36" s="273" t="s">
        <v>116</v>
      </c>
      <c r="B36" s="273"/>
      <c r="C36" s="274" t="s">
        <v>117</v>
      </c>
      <c r="D36" s="275">
        <v>7344.36</v>
      </c>
      <c r="E36" s="276" t="s">
        <v>109</v>
      </c>
    </row>
    <row r="37" spans="1:5" x14ac:dyDescent="0.2">
      <c r="A37" s="273" t="s">
        <v>118</v>
      </c>
      <c r="B37" s="273"/>
      <c r="C37" s="274" t="s">
        <v>248</v>
      </c>
      <c r="D37" s="275">
        <v>4294.57</v>
      </c>
      <c r="E37" s="276" t="s">
        <v>109</v>
      </c>
    </row>
    <row r="38" spans="1:5" ht="15" x14ac:dyDescent="0.25">
      <c r="A38" s="365" t="s">
        <v>249</v>
      </c>
      <c r="B38" s="366"/>
      <c r="C38" s="367"/>
      <c r="D38" s="278">
        <f>SUM(D33:D37)/1000</f>
        <v>37.781419999999997</v>
      </c>
      <c r="E38" s="276" t="s">
        <v>3</v>
      </c>
    </row>
    <row r="39" spans="1:5" x14ac:dyDescent="0.2">
      <c r="A39" s="374" t="s">
        <v>28</v>
      </c>
      <c r="B39" s="374"/>
      <c r="C39" s="374"/>
      <c r="D39" s="374"/>
      <c r="E39" s="374"/>
    </row>
    <row r="40" spans="1:5" ht="15" x14ac:dyDescent="0.25">
      <c r="A40" s="365" t="s">
        <v>250</v>
      </c>
      <c r="B40" s="366"/>
      <c r="C40" s="367"/>
      <c r="D40" s="279">
        <f>D38</f>
        <v>37.781419999999997</v>
      </c>
      <c r="E40" s="276" t="s">
        <v>3</v>
      </c>
    </row>
    <row r="41" spans="1:5" x14ac:dyDescent="0.2">
      <c r="A41" s="349"/>
      <c r="B41" s="350"/>
      <c r="C41" s="350"/>
      <c r="D41" s="350"/>
      <c r="E41" s="351"/>
    </row>
    <row r="42" spans="1:5" ht="15" x14ac:dyDescent="0.25">
      <c r="A42" s="352" t="s">
        <v>251</v>
      </c>
      <c r="B42" s="353"/>
      <c r="C42" s="354"/>
      <c r="D42" s="281">
        <v>3</v>
      </c>
      <c r="E42" s="282" t="s">
        <v>3</v>
      </c>
    </row>
    <row r="43" spans="1:5" x14ac:dyDescent="0.2">
      <c r="A43" s="349"/>
      <c r="B43" s="350"/>
      <c r="C43" s="350"/>
      <c r="D43" s="350"/>
      <c r="E43" s="351"/>
    </row>
    <row r="44" spans="1:5" ht="15" x14ac:dyDescent="0.25">
      <c r="A44" s="355" t="s">
        <v>126</v>
      </c>
      <c r="B44" s="355"/>
      <c r="C44" s="355"/>
      <c r="D44" s="283">
        <f>D38+D40+D42</f>
        <v>78.562839999999994</v>
      </c>
      <c r="E44" s="282" t="s">
        <v>3</v>
      </c>
    </row>
    <row r="45" spans="1:5" ht="13.5" thickBot="1" x14ac:dyDescent="0.25">
      <c r="A45" s="280"/>
      <c r="B45" s="280"/>
      <c r="C45" s="280"/>
      <c r="D45" s="280"/>
      <c r="E45" s="280"/>
    </row>
    <row r="46" spans="1:5" ht="13.5" thickBot="1" x14ac:dyDescent="0.25">
      <c r="A46" s="368" t="s">
        <v>253</v>
      </c>
      <c r="B46" s="369"/>
      <c r="C46" s="369"/>
      <c r="D46" s="369"/>
      <c r="E46" s="370"/>
    </row>
    <row r="47" spans="1:5" x14ac:dyDescent="0.2">
      <c r="A47" s="356" t="s">
        <v>119</v>
      </c>
      <c r="B47" s="358" t="s">
        <v>120</v>
      </c>
      <c r="C47" s="358"/>
      <c r="D47" s="358" t="s">
        <v>254</v>
      </c>
      <c r="E47" s="360" t="s">
        <v>106</v>
      </c>
    </row>
    <row r="48" spans="1:5" x14ac:dyDescent="0.2">
      <c r="A48" s="357"/>
      <c r="B48" s="359"/>
      <c r="C48" s="359"/>
      <c r="D48" s="359"/>
      <c r="E48" s="361"/>
    </row>
    <row r="49" spans="1:5" x14ac:dyDescent="0.2">
      <c r="A49" s="287" t="s">
        <v>255</v>
      </c>
      <c r="B49" s="288">
        <v>5</v>
      </c>
      <c r="C49" s="289" t="s">
        <v>122</v>
      </c>
      <c r="D49" s="290">
        <f>D14</f>
        <v>98.27788000000001</v>
      </c>
      <c r="E49" s="291" t="s">
        <v>3</v>
      </c>
    </row>
    <row r="50" spans="1:5" x14ac:dyDescent="0.2">
      <c r="A50" s="287" t="s">
        <v>256</v>
      </c>
      <c r="B50" s="288">
        <v>5</v>
      </c>
      <c r="C50" s="289" t="s">
        <v>122</v>
      </c>
      <c r="D50" s="290">
        <f>D29</f>
        <v>64.056820000000016</v>
      </c>
      <c r="E50" s="291" t="s">
        <v>3</v>
      </c>
    </row>
    <row r="51" spans="1:5" x14ac:dyDescent="0.2">
      <c r="A51" s="287" t="s">
        <v>256</v>
      </c>
      <c r="B51" s="276">
        <v>5</v>
      </c>
      <c r="C51" s="276" t="s">
        <v>122</v>
      </c>
      <c r="D51" s="290">
        <f>D44</f>
        <v>78.562839999999994</v>
      </c>
      <c r="E51" s="291" t="s">
        <v>3</v>
      </c>
    </row>
    <row r="52" spans="1:5" ht="13.5" thickBot="1" x14ac:dyDescent="0.25">
      <c r="A52" s="362"/>
      <c r="B52" s="363"/>
      <c r="C52" s="363"/>
      <c r="D52" s="363"/>
      <c r="E52" s="364"/>
    </row>
    <row r="53" spans="1:5" ht="15" x14ac:dyDescent="0.25">
      <c r="A53" s="371" t="s">
        <v>123</v>
      </c>
      <c r="B53" s="372"/>
      <c r="C53" s="373"/>
      <c r="D53" s="292">
        <f>(B49*D49)+(B50*D50)+(B51*D51)</f>
        <v>1204.4877000000001</v>
      </c>
      <c r="E53" s="293" t="s">
        <v>124</v>
      </c>
    </row>
    <row r="54" spans="1:5" ht="15.75" thickBot="1" x14ac:dyDescent="0.3">
      <c r="A54" s="346" t="s">
        <v>125</v>
      </c>
      <c r="B54" s="347"/>
      <c r="C54" s="348"/>
      <c r="D54" s="294">
        <f>(D53/7)*30</f>
        <v>5162.0901428571433</v>
      </c>
      <c r="E54" s="295" t="s">
        <v>124</v>
      </c>
    </row>
  </sheetData>
  <mergeCells count="31">
    <mergeCell ref="A13:E13"/>
    <mergeCell ref="A28:E28"/>
    <mergeCell ref="A1:E1"/>
    <mergeCell ref="A16:E16"/>
    <mergeCell ref="A8:C8"/>
    <mergeCell ref="A23:C23"/>
    <mergeCell ref="A9:E9"/>
    <mergeCell ref="A24:E24"/>
    <mergeCell ref="A10:C10"/>
    <mergeCell ref="A25:C25"/>
    <mergeCell ref="A11:E11"/>
    <mergeCell ref="A12:C12"/>
    <mergeCell ref="A27:C27"/>
    <mergeCell ref="A14:C14"/>
    <mergeCell ref="A29:C29"/>
    <mergeCell ref="A31:E31"/>
    <mergeCell ref="A46:E46"/>
    <mergeCell ref="A38:C38"/>
    <mergeCell ref="A53:C53"/>
    <mergeCell ref="A39:E39"/>
    <mergeCell ref="A40:C40"/>
    <mergeCell ref="A54:C54"/>
    <mergeCell ref="A41:E41"/>
    <mergeCell ref="A42:C42"/>
    <mergeCell ref="A43:E43"/>
    <mergeCell ref="A44:C44"/>
    <mergeCell ref="A47:A48"/>
    <mergeCell ref="B47:C48"/>
    <mergeCell ref="D47:D48"/>
    <mergeCell ref="E47:E48"/>
    <mergeCell ref="A52:E5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7"/>
  <sheetViews>
    <sheetView workbookViewId="0">
      <selection activeCell="F35" sqref="F35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75" t="s">
        <v>92</v>
      </c>
      <c r="B1" s="376"/>
    </row>
    <row r="2" spans="1:2" s="7" customFormat="1" ht="19.5" customHeight="1" x14ac:dyDescent="0.2">
      <c r="A2" s="94" t="s">
        <v>86</v>
      </c>
      <c r="B2" s="95" t="s">
        <v>98</v>
      </c>
    </row>
    <row r="3" spans="1:2" ht="19.5" customHeight="1" x14ac:dyDescent="0.2">
      <c r="A3" s="18">
        <v>1</v>
      </c>
      <c r="B3" s="17">
        <v>33.629999999999995</v>
      </c>
    </row>
    <row r="4" spans="1:2" ht="19.5" customHeight="1" x14ac:dyDescent="0.2">
      <c r="A4" s="18">
        <v>2</v>
      </c>
      <c r="B4" s="17">
        <v>43.13</v>
      </c>
    </row>
    <row r="5" spans="1:2" ht="19.5" customHeight="1" x14ac:dyDescent="0.2">
      <c r="A5" s="18">
        <v>3</v>
      </c>
      <c r="B5" s="17">
        <v>48.68</v>
      </c>
    </row>
    <row r="6" spans="1:2" ht="19.5" customHeight="1" x14ac:dyDescent="0.2">
      <c r="A6" s="18">
        <v>4</v>
      </c>
      <c r="B6" s="17">
        <v>52.62</v>
      </c>
    </row>
    <row r="7" spans="1:2" ht="19.5" customHeight="1" x14ac:dyDescent="0.2">
      <c r="A7" s="18">
        <v>5</v>
      </c>
      <c r="B7" s="17">
        <v>55.679999999999993</v>
      </c>
    </row>
    <row r="8" spans="1:2" ht="19.5" customHeight="1" x14ac:dyDescent="0.2">
      <c r="A8" s="18">
        <v>6</v>
      </c>
      <c r="B8" s="17">
        <v>58.18</v>
      </c>
    </row>
    <row r="9" spans="1:2" ht="19.5" customHeight="1" x14ac:dyDescent="0.2">
      <c r="A9" s="18">
        <v>7</v>
      </c>
      <c r="B9" s="17">
        <v>60.29</v>
      </c>
    </row>
    <row r="10" spans="1:2" ht="19.5" customHeight="1" x14ac:dyDescent="0.2">
      <c r="A10" s="18">
        <v>8</v>
      </c>
      <c r="B10" s="17">
        <v>62.12</v>
      </c>
    </row>
    <row r="11" spans="1:2" ht="19.5" customHeight="1" x14ac:dyDescent="0.2">
      <c r="A11" s="18">
        <v>9</v>
      </c>
      <c r="B11" s="17">
        <v>63.73</v>
      </c>
    </row>
    <row r="12" spans="1:2" ht="19.5" customHeight="1" x14ac:dyDescent="0.2">
      <c r="A12" s="18">
        <v>10</v>
      </c>
      <c r="B12" s="17">
        <v>65.180000000000007</v>
      </c>
    </row>
    <row r="13" spans="1:2" ht="19.5" customHeight="1" x14ac:dyDescent="0.2">
      <c r="A13" s="18">
        <v>11</v>
      </c>
      <c r="B13" s="17">
        <v>66.47999999999999</v>
      </c>
    </row>
    <row r="14" spans="1:2" ht="19.5" customHeight="1" x14ac:dyDescent="0.2">
      <c r="A14" s="18">
        <v>12</v>
      </c>
      <c r="B14" s="17">
        <v>67.67</v>
      </c>
    </row>
    <row r="15" spans="1:2" ht="19.5" customHeight="1" x14ac:dyDescent="0.2">
      <c r="A15" s="18">
        <v>13</v>
      </c>
      <c r="B15" s="17">
        <v>68.77</v>
      </c>
    </row>
    <row r="16" spans="1:2" ht="19.5" customHeight="1" x14ac:dyDescent="0.2">
      <c r="A16" s="18">
        <v>14</v>
      </c>
      <c r="B16" s="17">
        <v>69.789999999999992</v>
      </c>
    </row>
    <row r="17" spans="1:2" ht="19.5" customHeight="1" thickBot="1" x14ac:dyDescent="0.25">
      <c r="A17" s="19">
        <v>15</v>
      </c>
      <c r="B17" s="20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Resumo </vt:lpstr>
      <vt:lpstr>Linha 1</vt:lpstr>
      <vt:lpstr>Linha 2</vt:lpstr>
      <vt:lpstr>Linha 3</vt:lpstr>
      <vt:lpstr>Encargos Sociais</vt:lpstr>
      <vt:lpstr>BDI</vt:lpstr>
      <vt:lpstr>Roteiros</vt:lpstr>
      <vt:lpstr>Depreciação</vt:lpstr>
      <vt:lpstr>AbaDeprec</vt:lpstr>
      <vt:lpstr>'Encargos Sociais'!Area_de_impressao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Marcos-PC</cp:lastModifiedBy>
  <cp:lastPrinted>2019-11-27T16:49:11Z</cp:lastPrinted>
  <dcterms:created xsi:type="dcterms:W3CDTF">2000-12-13T10:02:50Z</dcterms:created>
  <dcterms:modified xsi:type="dcterms:W3CDTF">2019-12-04T11:33:27Z</dcterms:modified>
</cp:coreProperties>
</file>